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7. 29 ก.พ. 67\"/>
    </mc:Choice>
  </mc:AlternateContent>
  <xr:revisionPtr revIDLastSave="0" documentId="13_ncr:1_{860C82F9-86FE-4E0E-8568-0C082D74805B}" xr6:coauthVersionLast="37" xr6:coauthVersionMax="37" xr10:uidLastSave="{00000000-0000-0000-0000-000000000000}"/>
  <bookViews>
    <workbookView xWindow="0" yWindow="0" windowWidth="12960" windowHeight="7995" tabRatio="895" activeTab="9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กำแพงเพชร!$1:$7</definedName>
    <definedName name="_xlnm.Print_Titles" localSheetId="2">เชียงราย!$1:$7</definedName>
    <definedName name="_xlnm.Print_Titles" localSheetId="3">เชียงใหม่!$1:$7</definedName>
    <definedName name="_xlnm.Print_Titles" localSheetId="4">ตาก!$1:$7</definedName>
    <definedName name="_xlnm.Print_Titles" localSheetId="5">นครสวรรค์!$1:$7</definedName>
    <definedName name="_xlnm.Print_Titles" localSheetId="6">น่าน!$1:$7</definedName>
    <definedName name="_xlnm.Print_Titles" localSheetId="7">พะเยา!$1:$7</definedName>
    <definedName name="_xlnm.Print_Titles" localSheetId="8">พิจิตร!$1:$7</definedName>
    <definedName name="_xlnm.Print_Titles" localSheetId="9">พิษณุโลก!$1:$7</definedName>
    <definedName name="_xlnm.Print_Titles" localSheetId="10">เพชรบูรณ์!$1:$7</definedName>
    <definedName name="_xlnm.Print_Titles" localSheetId="11">แพร่!$1:$7</definedName>
    <definedName name="_xlnm.Print_Titles" localSheetId="12">แม่ฮ่องสอน!$1:$7</definedName>
    <definedName name="_xlnm.Print_Titles" localSheetId="0">รวมเหนือ!$1:$7</definedName>
    <definedName name="_xlnm.Print_Titles" localSheetId="13">ลำปาง!$1:$7</definedName>
    <definedName name="_xlnm.Print_Titles" localSheetId="14">ลำพูน!$1:$7</definedName>
    <definedName name="_xlnm.Print_Titles" localSheetId="15">สุโขทัย!$1:$7</definedName>
    <definedName name="_xlnm.Print_Titles" localSheetId="16">อุตรดิตถ์!$1:$7</definedName>
    <definedName name="_xlnm.Print_Titles" localSheetId="17">อุทัยธานี!$1:$7</definedName>
  </definedNames>
  <calcPr calcId="179021"/>
</workbook>
</file>

<file path=xl/calcChain.xml><?xml version="1.0" encoding="utf-8"?>
<calcChain xmlns="http://schemas.openxmlformats.org/spreadsheetml/2006/main">
  <c r="Q163" i="18" l="1"/>
  <c r="Q100" i="18"/>
  <c r="Q163" i="17" l="1"/>
  <c r="Q100" i="17"/>
  <c r="Q78" i="17"/>
  <c r="Q100" i="16"/>
  <c r="Q163" i="16"/>
  <c r="Q163" i="15"/>
  <c r="Q163" i="14" l="1"/>
  <c r="Q381" i="13" l="1"/>
  <c r="Q163" i="13" l="1"/>
  <c r="Q78" i="13"/>
  <c r="Q163" i="12"/>
  <c r="Q100" i="12"/>
  <c r="Q381" i="11"/>
  <c r="Q163" i="11" l="1"/>
  <c r="Q163" i="10"/>
  <c r="Q163" i="9" l="1"/>
  <c r="Q78" i="9"/>
  <c r="Q163" i="8"/>
  <c r="Q100" i="8"/>
  <c r="Q163" i="7"/>
  <c r="Q163" i="6" l="1"/>
  <c r="Q100" i="5"/>
  <c r="Q78" i="5"/>
  <c r="Q163" i="5" l="1"/>
  <c r="Q163" i="4"/>
  <c r="Q161" i="4" s="1"/>
  <c r="T161" i="4" s="1"/>
  <c r="Q78" i="4"/>
  <c r="Q100" i="3"/>
  <c r="Q98" i="3" s="1"/>
  <c r="T98" i="3" s="1"/>
  <c r="Q163" i="2"/>
  <c r="Q161" i="2" s="1"/>
  <c r="T161" i="2" s="1"/>
  <c r="Q100" i="2"/>
  <c r="Q98" i="2" s="1"/>
  <c r="T98" i="2" s="1"/>
  <c r="Q78" i="2"/>
  <c r="Q76" i="2" s="1"/>
  <c r="T76" i="2" s="1"/>
  <c r="Q163" i="3"/>
  <c r="Q161" i="3" s="1"/>
  <c r="T161" i="3" s="1"/>
  <c r="A788" i="18"/>
  <c r="J785" i="18"/>
  <c r="I785" i="18"/>
  <c r="J784" i="18"/>
  <c r="I784" i="18"/>
  <c r="J783" i="18"/>
  <c r="I783" i="18"/>
  <c r="J782" i="18"/>
  <c r="I782" i="18"/>
  <c r="J781" i="18"/>
  <c r="I781" i="18"/>
  <c r="J780" i="18"/>
  <c r="I780" i="18"/>
  <c r="J779" i="18"/>
  <c r="I779" i="18"/>
  <c r="J778" i="18"/>
  <c r="I778" i="18"/>
  <c r="H777" i="18"/>
  <c r="I776" i="18"/>
  <c r="I775" i="18"/>
  <c r="I774" i="18"/>
  <c r="I759" i="18" s="1"/>
  <c r="K759" i="18" s="1"/>
  <c r="I772" i="18"/>
  <c r="K772" i="18" s="1"/>
  <c r="I770" i="18"/>
  <c r="K770" i="18" s="1"/>
  <c r="U768" i="18"/>
  <c r="T768" i="18"/>
  <c r="P768" i="18"/>
  <c r="O768" i="18"/>
  <c r="U767" i="18"/>
  <c r="T767" i="18"/>
  <c r="P767" i="18"/>
  <c r="O767" i="18"/>
  <c r="T766" i="18"/>
  <c r="S766" i="18"/>
  <c r="R766" i="18"/>
  <c r="U766" i="18" s="1"/>
  <c r="Q766" i="18"/>
  <c r="N766" i="18"/>
  <c r="M766" i="18"/>
  <c r="P766" i="18" s="1"/>
  <c r="L766" i="18"/>
  <c r="O766" i="18" s="1"/>
  <c r="S765" i="18"/>
  <c r="S763" i="18" s="1"/>
  <c r="R765" i="18"/>
  <c r="R763" i="18" s="1"/>
  <c r="Q765" i="18"/>
  <c r="P765" i="18"/>
  <c r="O765" i="18"/>
  <c r="U764" i="18"/>
  <c r="T764" i="18"/>
  <c r="P764" i="18"/>
  <c r="O764" i="18"/>
  <c r="P763" i="18"/>
  <c r="O763" i="18"/>
  <c r="N763" i="18"/>
  <c r="M763" i="18"/>
  <c r="L763" i="18"/>
  <c r="O762" i="18"/>
  <c r="N762" i="18"/>
  <c r="M762" i="18"/>
  <c r="P762" i="18" s="1"/>
  <c r="L762" i="18"/>
  <c r="S761" i="18"/>
  <c r="R761" i="18"/>
  <c r="Q761" i="18"/>
  <c r="T761" i="18" s="1"/>
  <c r="N761" i="18"/>
  <c r="M761" i="18"/>
  <c r="P761" i="18" s="1"/>
  <c r="L761" i="18"/>
  <c r="L760" i="18" s="1"/>
  <c r="O760" i="18" s="1"/>
  <c r="N760" i="18"/>
  <c r="J759" i="18"/>
  <c r="J758" i="18"/>
  <c r="I756" i="18"/>
  <c r="K756" i="18" s="1"/>
  <c r="I753" i="18"/>
  <c r="K753" i="18" s="1"/>
  <c r="I750" i="18"/>
  <c r="K750" i="18" s="1"/>
  <c r="I747" i="18"/>
  <c r="K747" i="18" s="1"/>
  <c r="I745" i="18"/>
  <c r="K745" i="18" s="1"/>
  <c r="I743" i="18"/>
  <c r="K743" i="18" s="1"/>
  <c r="I741" i="18"/>
  <c r="K741" i="18" s="1"/>
  <c r="U737" i="18"/>
  <c r="T737" i="18"/>
  <c r="P737" i="18"/>
  <c r="O737" i="18"/>
  <c r="U736" i="18"/>
  <c r="T736" i="18"/>
  <c r="P736" i="18"/>
  <c r="O736" i="18"/>
  <c r="S735" i="18"/>
  <c r="R735" i="18"/>
  <c r="U735" i="18" s="1"/>
  <c r="Q735" i="18"/>
  <c r="T735" i="18" s="1"/>
  <c r="N735" i="18"/>
  <c r="M735" i="18"/>
  <c r="P735" i="18" s="1"/>
  <c r="L735" i="18"/>
  <c r="O735" i="18" s="1"/>
  <c r="S734" i="18"/>
  <c r="S732" i="18" s="1"/>
  <c r="R734" i="18"/>
  <c r="R732" i="18" s="1"/>
  <c r="Q734" i="18"/>
  <c r="Q732" i="18" s="1"/>
  <c r="P734" i="18"/>
  <c r="O734" i="18"/>
  <c r="U733" i="18"/>
  <c r="T733" i="18"/>
  <c r="P733" i="18"/>
  <c r="O733" i="18"/>
  <c r="P732" i="18"/>
  <c r="O732" i="18"/>
  <c r="N732" i="18"/>
  <c r="M732" i="18"/>
  <c r="L732" i="18"/>
  <c r="N731" i="18"/>
  <c r="N729" i="18" s="1"/>
  <c r="M731" i="18"/>
  <c r="P731" i="18" s="1"/>
  <c r="L731" i="18"/>
  <c r="O731" i="18" s="1"/>
  <c r="S730" i="18"/>
  <c r="R730" i="18"/>
  <c r="U730" i="18" s="1"/>
  <c r="Q730" i="18"/>
  <c r="P730" i="18"/>
  <c r="N730" i="18"/>
  <c r="M730" i="18"/>
  <c r="L730" i="18"/>
  <c r="O730" i="18" s="1"/>
  <c r="P729" i="18"/>
  <c r="M729" i="18"/>
  <c r="J728" i="18"/>
  <c r="I728" i="18"/>
  <c r="K728" i="18" s="1"/>
  <c r="J727" i="18"/>
  <c r="I727" i="18"/>
  <c r="U723" i="18"/>
  <c r="T723" i="18"/>
  <c r="P723" i="18"/>
  <c r="O723" i="18"/>
  <c r="U722" i="18"/>
  <c r="T722" i="18"/>
  <c r="P722" i="18"/>
  <c r="O722" i="18"/>
  <c r="U721" i="18"/>
  <c r="T721" i="18"/>
  <c r="S721" i="18"/>
  <c r="R721" i="18"/>
  <c r="Q721" i="18"/>
  <c r="P721" i="18"/>
  <c r="O721" i="18"/>
  <c r="N721" i="18"/>
  <c r="M721" i="18"/>
  <c r="L721" i="18"/>
  <c r="U720" i="18"/>
  <c r="T720" i="18"/>
  <c r="P720" i="18"/>
  <c r="O720" i="18"/>
  <c r="U719" i="18"/>
  <c r="T719" i="18"/>
  <c r="P719" i="18"/>
  <c r="O719" i="18"/>
  <c r="U718" i="18"/>
  <c r="T718" i="18"/>
  <c r="S718" i="18"/>
  <c r="R718" i="18"/>
  <c r="Q718" i="18"/>
  <c r="P718" i="18"/>
  <c r="O718" i="18"/>
  <c r="N718" i="18"/>
  <c r="M718" i="18"/>
  <c r="L718" i="18"/>
  <c r="T717" i="18"/>
  <c r="S717" i="18"/>
  <c r="R717" i="18"/>
  <c r="U717" i="18" s="1"/>
  <c r="Q717" i="18"/>
  <c r="N717" i="18"/>
  <c r="N715" i="18" s="1"/>
  <c r="M717" i="18"/>
  <c r="P717" i="18" s="1"/>
  <c r="L717" i="18"/>
  <c r="O717" i="18" s="1"/>
  <c r="S716" i="18"/>
  <c r="R716" i="18"/>
  <c r="Q716" i="18"/>
  <c r="Q715" i="18" s="1"/>
  <c r="T715" i="18" s="1"/>
  <c r="P716" i="18"/>
  <c r="N716" i="18"/>
  <c r="M716" i="18"/>
  <c r="L716" i="18"/>
  <c r="S715" i="18"/>
  <c r="P715" i="18"/>
  <c r="M715" i="18"/>
  <c r="K713" i="18"/>
  <c r="J713" i="18"/>
  <c r="K711" i="18"/>
  <c r="J711" i="18"/>
  <c r="J710" i="18"/>
  <c r="I710" i="18"/>
  <c r="K709" i="18"/>
  <c r="J709" i="18"/>
  <c r="J708" i="18"/>
  <c r="I708" i="18"/>
  <c r="I690" i="18" s="1"/>
  <c r="K707" i="18"/>
  <c r="J707" i="18"/>
  <c r="J706" i="18"/>
  <c r="I706" i="18"/>
  <c r="K705" i="18"/>
  <c r="J705" i="18"/>
  <c r="J704" i="18"/>
  <c r="I704" i="18"/>
  <c r="K703" i="18"/>
  <c r="I701" i="18"/>
  <c r="K701" i="18" s="1"/>
  <c r="U699" i="18"/>
  <c r="T699" i="18"/>
  <c r="P699" i="18"/>
  <c r="O699" i="18"/>
  <c r="U698" i="18"/>
  <c r="T698" i="18"/>
  <c r="P698" i="18"/>
  <c r="O698" i="18"/>
  <c r="T697" i="18"/>
  <c r="S697" i="18"/>
  <c r="R697" i="18"/>
  <c r="U697" i="18" s="1"/>
  <c r="Q697" i="18"/>
  <c r="O697" i="18"/>
  <c r="N697" i="18"/>
  <c r="M697" i="18"/>
  <c r="P697" i="18" s="1"/>
  <c r="L697" i="18"/>
  <c r="S696" i="18"/>
  <c r="S694" i="18" s="1"/>
  <c r="R696" i="18"/>
  <c r="R694" i="18" s="1"/>
  <c r="Q696" i="18"/>
  <c r="P696" i="18"/>
  <c r="O696" i="18"/>
  <c r="U695" i="18"/>
  <c r="T695" i="18"/>
  <c r="P695" i="18"/>
  <c r="O695" i="18"/>
  <c r="P694" i="18"/>
  <c r="O694" i="18"/>
  <c r="N694" i="18"/>
  <c r="M694" i="18"/>
  <c r="L694" i="18"/>
  <c r="P693" i="18"/>
  <c r="O693" i="18"/>
  <c r="N693" i="18"/>
  <c r="M693" i="18"/>
  <c r="L693" i="18"/>
  <c r="S692" i="18"/>
  <c r="R692" i="18"/>
  <c r="U692" i="18" s="1"/>
  <c r="Q692" i="18"/>
  <c r="N692" i="18"/>
  <c r="M692" i="18"/>
  <c r="M691" i="18" s="1"/>
  <c r="L692" i="18"/>
  <c r="O692" i="18" s="1"/>
  <c r="P691" i="18"/>
  <c r="L691" i="18"/>
  <c r="O691" i="18" s="1"/>
  <c r="J683" i="18"/>
  <c r="I683" i="18"/>
  <c r="K683" i="18" s="1"/>
  <c r="J682" i="18"/>
  <c r="I682" i="18"/>
  <c r="J681" i="18"/>
  <c r="J680" i="18"/>
  <c r="I680" i="18"/>
  <c r="J679" i="18"/>
  <c r="I679" i="18"/>
  <c r="J678" i="18"/>
  <c r="J677" i="18"/>
  <c r="I677" i="18"/>
  <c r="I676" i="18"/>
  <c r="I675" i="18"/>
  <c r="J674" i="18"/>
  <c r="I674" i="18"/>
  <c r="J673" i="18"/>
  <c r="J672" i="18"/>
  <c r="J662" i="18"/>
  <c r="I662" i="18"/>
  <c r="I661" i="18"/>
  <c r="I658" i="18"/>
  <c r="J655" i="18"/>
  <c r="I655" i="18"/>
  <c r="K655" i="18" s="1"/>
  <c r="J654" i="18"/>
  <c r="I654" i="18"/>
  <c r="K654" i="18" s="1"/>
  <c r="J653" i="18"/>
  <c r="I653" i="18"/>
  <c r="K653" i="18" s="1"/>
  <c r="U651" i="18"/>
  <c r="T651" i="18"/>
  <c r="P651" i="18"/>
  <c r="O651" i="18"/>
  <c r="U650" i="18"/>
  <c r="T650" i="18"/>
  <c r="P650" i="18"/>
  <c r="O650" i="18"/>
  <c r="U649" i="18"/>
  <c r="T649" i="18"/>
  <c r="S649" i="18"/>
  <c r="R649" i="18"/>
  <c r="Q649" i="18"/>
  <c r="N649" i="18"/>
  <c r="M649" i="18"/>
  <c r="P649" i="18" s="1"/>
  <c r="L649" i="18"/>
  <c r="O649" i="18" s="1"/>
  <c r="S648" i="18"/>
  <c r="S646" i="18" s="1"/>
  <c r="R648" i="18"/>
  <c r="Q648" i="18"/>
  <c r="Q646" i="18" s="1"/>
  <c r="P648" i="18"/>
  <c r="O648" i="18"/>
  <c r="U647" i="18"/>
  <c r="T647" i="18"/>
  <c r="P647" i="18"/>
  <c r="O647" i="18"/>
  <c r="P646" i="18"/>
  <c r="O646" i="18"/>
  <c r="N646" i="18"/>
  <c r="M646" i="18"/>
  <c r="L646" i="18"/>
  <c r="O645" i="18"/>
  <c r="N645" i="18"/>
  <c r="M645" i="18"/>
  <c r="P645" i="18" s="1"/>
  <c r="L645" i="18"/>
  <c r="T644" i="18"/>
  <c r="S644" i="18"/>
  <c r="R644" i="18"/>
  <c r="U644" i="18" s="1"/>
  <c r="Q644" i="18"/>
  <c r="N644" i="18"/>
  <c r="N643" i="18" s="1"/>
  <c r="M644" i="18"/>
  <c r="L644" i="18"/>
  <c r="O644" i="18" s="1"/>
  <c r="L643" i="18"/>
  <c r="O643" i="18" s="1"/>
  <c r="J637" i="18"/>
  <c r="J636" i="18"/>
  <c r="I636" i="18"/>
  <c r="K636" i="18" s="1"/>
  <c r="J633" i="18"/>
  <c r="J627" i="18" s="1"/>
  <c r="J616" i="18" s="1"/>
  <c r="I629" i="18"/>
  <c r="K629" i="18" s="1"/>
  <c r="I628" i="18"/>
  <c r="K628" i="18" s="1"/>
  <c r="I627" i="18"/>
  <c r="K632" i="18" s="1"/>
  <c r="U625" i="18"/>
  <c r="T625" i="18"/>
  <c r="P625" i="18"/>
  <c r="O625" i="18"/>
  <c r="U624" i="18"/>
  <c r="T624" i="18"/>
  <c r="P624" i="18"/>
  <c r="O624" i="18"/>
  <c r="U623" i="18"/>
  <c r="T623" i="18"/>
  <c r="S623" i="18"/>
  <c r="R623" i="18"/>
  <c r="Q623" i="18"/>
  <c r="O623" i="18"/>
  <c r="N623" i="18"/>
  <c r="M623" i="18"/>
  <c r="P623" i="18" s="1"/>
  <c r="L623" i="18"/>
  <c r="S622" i="18"/>
  <c r="S619" i="18" s="1"/>
  <c r="R622" i="18"/>
  <c r="Q622" i="18"/>
  <c r="Q619" i="18" s="1"/>
  <c r="P622" i="18"/>
  <c r="O622" i="18"/>
  <c r="U621" i="18"/>
  <c r="T621" i="18"/>
  <c r="P621" i="18"/>
  <c r="O621" i="18"/>
  <c r="N620" i="18"/>
  <c r="M620" i="18"/>
  <c r="P620" i="18" s="1"/>
  <c r="L620" i="18"/>
  <c r="O620" i="18" s="1"/>
  <c r="P619" i="18"/>
  <c r="O619" i="18"/>
  <c r="N619" i="18"/>
  <c r="M619" i="18"/>
  <c r="L619" i="18"/>
  <c r="T618" i="18"/>
  <c r="S618" i="18"/>
  <c r="R618" i="18"/>
  <c r="U618" i="18" s="1"/>
  <c r="Q618" i="18"/>
  <c r="O618" i="18"/>
  <c r="N618" i="18"/>
  <c r="M618" i="18"/>
  <c r="L618" i="18"/>
  <c r="L617" i="18"/>
  <c r="O617" i="18" s="1"/>
  <c r="U608" i="18"/>
  <c r="T608" i="18"/>
  <c r="P608" i="18"/>
  <c r="O608" i="18"/>
  <c r="U607" i="18"/>
  <c r="T607" i="18"/>
  <c r="P607" i="18"/>
  <c r="O607" i="18"/>
  <c r="U606" i="18"/>
  <c r="T606" i="18"/>
  <c r="S606" i="18"/>
  <c r="R606" i="18"/>
  <c r="Q606" i="18"/>
  <c r="P606" i="18"/>
  <c r="O606" i="18"/>
  <c r="N606" i="18"/>
  <c r="M606" i="18"/>
  <c r="L606" i="18"/>
  <c r="U605" i="18"/>
  <c r="T605" i="18"/>
  <c r="P605" i="18"/>
  <c r="O605" i="18"/>
  <c r="U604" i="18"/>
  <c r="T604" i="18"/>
  <c r="P604" i="18"/>
  <c r="O604" i="18"/>
  <c r="U603" i="18"/>
  <c r="T603" i="18"/>
  <c r="S603" i="18"/>
  <c r="R603" i="18"/>
  <c r="Q603" i="18"/>
  <c r="P603" i="18"/>
  <c r="O603" i="18"/>
  <c r="N603" i="18"/>
  <c r="M603" i="18"/>
  <c r="L603" i="18"/>
  <c r="S602" i="18"/>
  <c r="S600" i="18" s="1"/>
  <c r="R602" i="18"/>
  <c r="U602" i="18" s="1"/>
  <c r="Q602" i="18"/>
  <c r="T602" i="18" s="1"/>
  <c r="N602" i="18"/>
  <c r="M602" i="18"/>
  <c r="P602" i="18" s="1"/>
  <c r="L602" i="18"/>
  <c r="O602" i="18" s="1"/>
  <c r="U601" i="18"/>
  <c r="S601" i="18"/>
  <c r="R601" i="18"/>
  <c r="R600" i="18" s="1"/>
  <c r="Q601" i="18"/>
  <c r="T601" i="18" s="1"/>
  <c r="N601" i="18"/>
  <c r="M601" i="18"/>
  <c r="P601" i="18" s="1"/>
  <c r="L601" i="18"/>
  <c r="L600" i="18" s="1"/>
  <c r="U600" i="18"/>
  <c r="Q600" i="18"/>
  <c r="T600" i="18" s="1"/>
  <c r="O600" i="18"/>
  <c r="N600" i="18"/>
  <c r="M600" i="18"/>
  <c r="P600" i="18" s="1"/>
  <c r="U585" i="18"/>
  <c r="T585" i="18"/>
  <c r="P585" i="18"/>
  <c r="O585" i="18"/>
  <c r="U584" i="18"/>
  <c r="T584" i="18"/>
  <c r="P584" i="18"/>
  <c r="O584" i="18"/>
  <c r="U583" i="18"/>
  <c r="T583" i="18"/>
  <c r="S583" i="18"/>
  <c r="R583" i="18"/>
  <c r="Q583" i="18"/>
  <c r="P583" i="18"/>
  <c r="O583" i="18"/>
  <c r="N583" i="18"/>
  <c r="M583" i="18"/>
  <c r="L583" i="18"/>
  <c r="U582" i="18"/>
  <c r="T582" i="18"/>
  <c r="P582" i="18"/>
  <c r="O582" i="18"/>
  <c r="U581" i="18"/>
  <c r="T581" i="18"/>
  <c r="P581" i="18"/>
  <c r="O581" i="18"/>
  <c r="U580" i="18"/>
  <c r="T580" i="18"/>
  <c r="S580" i="18"/>
  <c r="R580" i="18"/>
  <c r="Q580" i="18"/>
  <c r="P580" i="18"/>
  <c r="O580" i="18"/>
  <c r="N580" i="18"/>
  <c r="M580" i="18"/>
  <c r="L580" i="18"/>
  <c r="T579" i="18"/>
  <c r="S579" i="18"/>
  <c r="R579" i="18"/>
  <c r="U579" i="18" s="1"/>
  <c r="Q579" i="18"/>
  <c r="N579" i="18"/>
  <c r="M579" i="18"/>
  <c r="P579" i="18" s="1"/>
  <c r="L579" i="18"/>
  <c r="O579" i="18" s="1"/>
  <c r="U578" i="18"/>
  <c r="S578" i="18"/>
  <c r="R578" i="18"/>
  <c r="Q578" i="18"/>
  <c r="T578" i="18" s="1"/>
  <c r="P578" i="18"/>
  <c r="O578" i="18"/>
  <c r="N578" i="18"/>
  <c r="M578" i="18"/>
  <c r="L578" i="18"/>
  <c r="T577" i="18"/>
  <c r="S577" i="18"/>
  <c r="Q577" i="18"/>
  <c r="N577" i="18"/>
  <c r="J576" i="18"/>
  <c r="I576" i="18"/>
  <c r="K576" i="18" s="1"/>
  <c r="U564" i="18"/>
  <c r="T564" i="18"/>
  <c r="P564" i="18"/>
  <c r="O564" i="18"/>
  <c r="U563" i="18"/>
  <c r="T563" i="18"/>
  <c r="P563" i="18"/>
  <c r="O563" i="18"/>
  <c r="T562" i="18"/>
  <c r="S562" i="18"/>
  <c r="R562" i="18"/>
  <c r="U562" i="18" s="1"/>
  <c r="Q562" i="18"/>
  <c r="N562" i="18"/>
  <c r="M562" i="18"/>
  <c r="P562" i="18" s="1"/>
  <c r="L562" i="18"/>
  <c r="O562" i="18" s="1"/>
  <c r="U561" i="18"/>
  <c r="T561" i="18"/>
  <c r="P561" i="18"/>
  <c r="O561" i="18"/>
  <c r="U560" i="18"/>
  <c r="T560" i="18"/>
  <c r="P560" i="18"/>
  <c r="O560" i="18"/>
  <c r="S559" i="18"/>
  <c r="R559" i="18"/>
  <c r="U559" i="18" s="1"/>
  <c r="Q559" i="18"/>
  <c r="T559" i="18" s="1"/>
  <c r="P559" i="18"/>
  <c r="N559" i="18"/>
  <c r="M559" i="18"/>
  <c r="L559" i="18"/>
  <c r="O559" i="18" s="1"/>
  <c r="U558" i="18"/>
  <c r="T558" i="18"/>
  <c r="S558" i="18"/>
  <c r="R558" i="18"/>
  <c r="Q558" i="18"/>
  <c r="Q556" i="18" s="1"/>
  <c r="T556" i="18" s="1"/>
  <c r="P558" i="18"/>
  <c r="O558" i="18"/>
  <c r="N558" i="18"/>
  <c r="M558" i="18"/>
  <c r="L558" i="18"/>
  <c r="T557" i="18"/>
  <c r="S557" i="18"/>
  <c r="S556" i="18" s="1"/>
  <c r="R557" i="18"/>
  <c r="U557" i="18" s="1"/>
  <c r="Q557" i="18"/>
  <c r="N557" i="18"/>
  <c r="M557" i="18"/>
  <c r="L557" i="18"/>
  <c r="O557" i="18" s="1"/>
  <c r="N556" i="18"/>
  <c r="L556" i="18"/>
  <c r="O556" i="18" s="1"/>
  <c r="K555" i="18"/>
  <c r="J555" i="18"/>
  <c r="I555" i="18"/>
  <c r="U543" i="18"/>
  <c r="T543" i="18"/>
  <c r="P543" i="18"/>
  <c r="O543" i="18"/>
  <c r="U542" i="18"/>
  <c r="T542" i="18"/>
  <c r="P542" i="18"/>
  <c r="O542" i="18"/>
  <c r="U541" i="18"/>
  <c r="S541" i="18"/>
  <c r="R541" i="18"/>
  <c r="Q541" i="18"/>
  <c r="T541" i="18" s="1"/>
  <c r="P541" i="18"/>
  <c r="O541" i="18"/>
  <c r="N541" i="18"/>
  <c r="M541" i="18"/>
  <c r="L541" i="18"/>
  <c r="U540" i="18"/>
  <c r="T540" i="18"/>
  <c r="P540" i="18"/>
  <c r="O540" i="18"/>
  <c r="U539" i="18"/>
  <c r="T539" i="18"/>
  <c r="P539" i="18"/>
  <c r="O539" i="18"/>
  <c r="U538" i="18"/>
  <c r="S538" i="18"/>
  <c r="R538" i="18"/>
  <c r="Q538" i="18"/>
  <c r="T538" i="18" s="1"/>
  <c r="P538" i="18"/>
  <c r="O538" i="18"/>
  <c r="N538" i="18"/>
  <c r="M538" i="18"/>
  <c r="L538" i="18"/>
  <c r="U537" i="18"/>
  <c r="T537" i="18"/>
  <c r="S537" i="18"/>
  <c r="R537" i="18"/>
  <c r="Q537" i="18"/>
  <c r="O537" i="18"/>
  <c r="N537" i="18"/>
  <c r="M537" i="18"/>
  <c r="P537" i="18" s="1"/>
  <c r="L537" i="18"/>
  <c r="S536" i="18"/>
  <c r="R536" i="18"/>
  <c r="Q536" i="18"/>
  <c r="T536" i="18" s="1"/>
  <c r="P536" i="18"/>
  <c r="N536" i="18"/>
  <c r="M536" i="18"/>
  <c r="L536" i="18"/>
  <c r="S535" i="18"/>
  <c r="N535" i="18"/>
  <c r="M535" i="18"/>
  <c r="P535" i="18" s="1"/>
  <c r="K534" i="18"/>
  <c r="J534" i="18"/>
  <c r="I534" i="18"/>
  <c r="K525" i="18"/>
  <c r="K524" i="18"/>
  <c r="U522" i="18"/>
  <c r="T522" i="18"/>
  <c r="N522" i="18"/>
  <c r="N520" i="18" s="1"/>
  <c r="M522" i="18"/>
  <c r="P522" i="18" s="1"/>
  <c r="L522" i="18"/>
  <c r="L520" i="18" s="1"/>
  <c r="O520" i="18" s="1"/>
  <c r="U521" i="18"/>
  <c r="T521" i="18"/>
  <c r="P521" i="18"/>
  <c r="O521" i="18"/>
  <c r="U520" i="18"/>
  <c r="S520" i="18"/>
  <c r="R520" i="18"/>
  <c r="Q520" i="18"/>
  <c r="T520" i="18" s="1"/>
  <c r="U519" i="18"/>
  <c r="T519" i="18"/>
  <c r="N519" i="18"/>
  <c r="M519" i="18"/>
  <c r="M517" i="18" s="1"/>
  <c r="P517" i="18" s="1"/>
  <c r="L519" i="18"/>
  <c r="O519" i="18" s="1"/>
  <c r="U518" i="18"/>
  <c r="T518" i="18"/>
  <c r="P518" i="18"/>
  <c r="O518" i="18"/>
  <c r="U517" i="18"/>
  <c r="T517" i="18"/>
  <c r="S517" i="18"/>
  <c r="R517" i="18"/>
  <c r="Q517" i="18"/>
  <c r="S516" i="18"/>
  <c r="S514" i="18" s="1"/>
  <c r="R516" i="18"/>
  <c r="U516" i="18" s="1"/>
  <c r="Q516" i="18"/>
  <c r="T516" i="18" s="1"/>
  <c r="U515" i="18"/>
  <c r="T515" i="18"/>
  <c r="S515" i="18"/>
  <c r="R515" i="18"/>
  <c r="Q515" i="18"/>
  <c r="P515" i="18"/>
  <c r="O515" i="18"/>
  <c r="N515" i="18"/>
  <c r="M515" i="18"/>
  <c r="L515" i="18"/>
  <c r="J513" i="18"/>
  <c r="I513" i="18"/>
  <c r="K513" i="18" s="1"/>
  <c r="I510" i="18"/>
  <c r="K510" i="18" s="1"/>
  <c r="K509" i="18"/>
  <c r="I508" i="18"/>
  <c r="K508" i="18" s="1"/>
  <c r="I507" i="18"/>
  <c r="K507" i="18" s="1"/>
  <c r="I506" i="18"/>
  <c r="K506" i="18" s="1"/>
  <c r="I505" i="18"/>
  <c r="K505" i="18" s="1"/>
  <c r="I504" i="18"/>
  <c r="J504" i="18" s="1"/>
  <c r="U502" i="18"/>
  <c r="T502" i="18"/>
  <c r="P502" i="18"/>
  <c r="O502" i="18"/>
  <c r="U501" i="18"/>
  <c r="T501" i="18"/>
  <c r="P501" i="18"/>
  <c r="O501" i="18"/>
  <c r="U500" i="18"/>
  <c r="T500" i="18"/>
  <c r="S500" i="18"/>
  <c r="R500" i="18"/>
  <c r="Q500" i="18"/>
  <c r="N500" i="18"/>
  <c r="M500" i="18"/>
  <c r="P500" i="18" s="1"/>
  <c r="L500" i="18"/>
  <c r="O500" i="18" s="1"/>
  <c r="S499" i="18"/>
  <c r="S497" i="18" s="1"/>
  <c r="R499" i="18"/>
  <c r="R497" i="18" s="1"/>
  <c r="Q499" i="18"/>
  <c r="P499" i="18"/>
  <c r="O499" i="18"/>
  <c r="U498" i="18"/>
  <c r="T498" i="18"/>
  <c r="P498" i="18"/>
  <c r="O498" i="18"/>
  <c r="P497" i="18"/>
  <c r="O497" i="18"/>
  <c r="N497" i="18"/>
  <c r="M497" i="18"/>
  <c r="L497" i="18"/>
  <c r="P496" i="18"/>
  <c r="N496" i="18"/>
  <c r="M496" i="18"/>
  <c r="L496" i="18"/>
  <c r="O496" i="18" s="1"/>
  <c r="T495" i="18"/>
  <c r="S495" i="18"/>
  <c r="R495" i="18"/>
  <c r="U495" i="18" s="1"/>
  <c r="Q495" i="18"/>
  <c r="N495" i="18"/>
  <c r="N494" i="18" s="1"/>
  <c r="M495" i="18"/>
  <c r="M494" i="18" s="1"/>
  <c r="L495" i="18"/>
  <c r="O495" i="18" s="1"/>
  <c r="P494" i="18"/>
  <c r="K486" i="18"/>
  <c r="J486" i="18"/>
  <c r="I486" i="18"/>
  <c r="J485" i="18"/>
  <c r="I485" i="18"/>
  <c r="K485" i="18" s="1"/>
  <c r="J484" i="18"/>
  <c r="J483" i="18"/>
  <c r="K478" i="18"/>
  <c r="J478" i="18"/>
  <c r="K477" i="18"/>
  <c r="J477" i="18"/>
  <c r="K476" i="18"/>
  <c r="J476" i="18"/>
  <c r="J469" i="18"/>
  <c r="J468" i="18"/>
  <c r="J461" i="18"/>
  <c r="J459" i="18" s="1"/>
  <c r="J460" i="18"/>
  <c r="J458" i="18" s="1"/>
  <c r="J457" i="18" s="1"/>
  <c r="I459" i="18"/>
  <c r="K459" i="18" s="1"/>
  <c r="I458" i="18"/>
  <c r="J448" i="18"/>
  <c r="J447" i="18"/>
  <c r="J442" i="18"/>
  <c r="I442" i="18"/>
  <c r="K442" i="18" s="1"/>
  <c r="J441" i="18"/>
  <c r="I441" i="18"/>
  <c r="I424" i="18" s="1"/>
  <c r="K424" i="18" s="1"/>
  <c r="J434" i="18"/>
  <c r="I434" i="18"/>
  <c r="K434" i="18" s="1"/>
  <c r="J433" i="18"/>
  <c r="I433" i="18"/>
  <c r="K433" i="18" s="1"/>
  <c r="J426" i="18"/>
  <c r="I426" i="18"/>
  <c r="K426" i="18" s="1"/>
  <c r="J425" i="18"/>
  <c r="I425" i="18"/>
  <c r="K425" i="18" s="1"/>
  <c r="J424" i="18"/>
  <c r="J413" i="18" s="1"/>
  <c r="U422" i="18"/>
  <c r="T422" i="18"/>
  <c r="P422" i="18"/>
  <c r="O422" i="18"/>
  <c r="U421" i="18"/>
  <c r="T421" i="18"/>
  <c r="P421" i="18"/>
  <c r="O421" i="18"/>
  <c r="U420" i="18"/>
  <c r="S420" i="18"/>
  <c r="R420" i="18"/>
  <c r="Q420" i="18"/>
  <c r="T420" i="18" s="1"/>
  <c r="P420" i="18"/>
  <c r="O420" i="18"/>
  <c r="N420" i="18"/>
  <c r="M420" i="18"/>
  <c r="L420" i="18"/>
  <c r="S419" i="18"/>
  <c r="S416" i="18" s="1"/>
  <c r="R419" i="18"/>
  <c r="R417" i="18" s="1"/>
  <c r="U417" i="18" s="1"/>
  <c r="Q419" i="18"/>
  <c r="T419" i="18" s="1"/>
  <c r="P419" i="18"/>
  <c r="O419" i="18"/>
  <c r="U418" i="18"/>
  <c r="T418" i="18"/>
  <c r="P418" i="18"/>
  <c r="O418" i="18"/>
  <c r="N417" i="18"/>
  <c r="M417" i="18"/>
  <c r="P417" i="18" s="1"/>
  <c r="L417" i="18"/>
  <c r="O417" i="18" s="1"/>
  <c r="P416" i="18"/>
  <c r="O416" i="18"/>
  <c r="N416" i="18"/>
  <c r="M416" i="18"/>
  <c r="L416" i="18"/>
  <c r="T415" i="18"/>
  <c r="S415" i="18"/>
  <c r="R415" i="18"/>
  <c r="U415" i="18" s="1"/>
  <c r="Q415" i="18"/>
  <c r="N415" i="18"/>
  <c r="N414" i="18" s="1"/>
  <c r="M415" i="18"/>
  <c r="P415" i="18" s="1"/>
  <c r="L415" i="18"/>
  <c r="O415" i="18" s="1"/>
  <c r="U401" i="18"/>
  <c r="T401" i="18"/>
  <c r="P401" i="18"/>
  <c r="O401" i="18"/>
  <c r="U400" i="18"/>
  <c r="T400" i="18"/>
  <c r="P400" i="18"/>
  <c r="O400" i="18"/>
  <c r="T399" i="18"/>
  <c r="S399" i="18"/>
  <c r="R399" i="18"/>
  <c r="U399" i="18" s="1"/>
  <c r="Q399" i="18"/>
  <c r="N399" i="18"/>
  <c r="M399" i="18"/>
  <c r="P399" i="18" s="1"/>
  <c r="L399" i="18"/>
  <c r="O399" i="18" s="1"/>
  <c r="U398" i="18"/>
  <c r="T398" i="18"/>
  <c r="P398" i="18"/>
  <c r="O398" i="18"/>
  <c r="U397" i="18"/>
  <c r="T397" i="18"/>
  <c r="P397" i="18"/>
  <c r="O397" i="18"/>
  <c r="T396" i="18"/>
  <c r="S396" i="18"/>
  <c r="R396" i="18"/>
  <c r="U396" i="18" s="1"/>
  <c r="Q396" i="18"/>
  <c r="N396" i="18"/>
  <c r="M396" i="18"/>
  <c r="P396" i="18" s="1"/>
  <c r="L396" i="18"/>
  <c r="O396" i="18" s="1"/>
  <c r="S395" i="18"/>
  <c r="R395" i="18"/>
  <c r="U395" i="18" s="1"/>
  <c r="Q395" i="18"/>
  <c r="T395" i="18" s="1"/>
  <c r="P395" i="18"/>
  <c r="N395" i="18"/>
  <c r="M395" i="18"/>
  <c r="L395" i="18"/>
  <c r="O395" i="18" s="1"/>
  <c r="U394" i="18"/>
  <c r="T394" i="18"/>
  <c r="S394" i="18"/>
  <c r="R394" i="18"/>
  <c r="Q394" i="18"/>
  <c r="P394" i="18"/>
  <c r="O394" i="18"/>
  <c r="N394" i="18"/>
  <c r="M394" i="18"/>
  <c r="L394" i="18"/>
  <c r="L393" i="18" s="1"/>
  <c r="O393" i="18" s="1"/>
  <c r="T393" i="18"/>
  <c r="S393" i="18"/>
  <c r="Q393" i="18"/>
  <c r="N393" i="18"/>
  <c r="M393" i="18"/>
  <c r="P393" i="18" s="1"/>
  <c r="K392" i="18"/>
  <c r="J392" i="18"/>
  <c r="I392" i="18"/>
  <c r="J389" i="18"/>
  <c r="I389" i="18"/>
  <c r="K388" i="18"/>
  <c r="J388" i="18"/>
  <c r="J387" i="18"/>
  <c r="I387" i="18"/>
  <c r="K386" i="18"/>
  <c r="J386" i="18"/>
  <c r="U384" i="18"/>
  <c r="T384" i="18"/>
  <c r="P384" i="18"/>
  <c r="O384" i="18"/>
  <c r="U383" i="18"/>
  <c r="T383" i="18"/>
  <c r="P383" i="18"/>
  <c r="O383" i="18"/>
  <c r="U382" i="18"/>
  <c r="T382" i="18"/>
  <c r="S382" i="18"/>
  <c r="R382" i="18"/>
  <c r="Q382" i="18"/>
  <c r="O382" i="18"/>
  <c r="N382" i="18"/>
  <c r="M382" i="18"/>
  <c r="P382" i="18" s="1"/>
  <c r="L382" i="18"/>
  <c r="S381" i="18"/>
  <c r="R381" i="18"/>
  <c r="U381" i="18" s="1"/>
  <c r="Q381" i="18"/>
  <c r="Q379" i="18" s="1"/>
  <c r="P381" i="18"/>
  <c r="O381" i="18"/>
  <c r="U380" i="18"/>
  <c r="T380" i="18"/>
  <c r="P380" i="18"/>
  <c r="O380" i="18"/>
  <c r="P379" i="18"/>
  <c r="N379" i="18"/>
  <c r="M379" i="18"/>
  <c r="L379" i="18"/>
  <c r="O379" i="18" s="1"/>
  <c r="P378" i="18"/>
  <c r="O378" i="18"/>
  <c r="N378" i="18"/>
  <c r="M378" i="18"/>
  <c r="L378" i="18"/>
  <c r="T377" i="18"/>
  <c r="S377" i="18"/>
  <c r="R377" i="18"/>
  <c r="U377" i="18" s="1"/>
  <c r="Q377" i="18"/>
  <c r="N377" i="18"/>
  <c r="N376" i="18" s="1"/>
  <c r="M377" i="18"/>
  <c r="P377" i="18" s="1"/>
  <c r="L377" i="18"/>
  <c r="O377" i="18" s="1"/>
  <c r="L376" i="18"/>
  <c r="O376" i="18" s="1"/>
  <c r="D374" i="18"/>
  <c r="K373" i="18"/>
  <c r="J373" i="18"/>
  <c r="J372" i="18"/>
  <c r="J366" i="18" s="1"/>
  <c r="I372" i="18"/>
  <c r="K371" i="18"/>
  <c r="J371" i="18"/>
  <c r="J370" i="18"/>
  <c r="I370" i="18"/>
  <c r="J369" i="18"/>
  <c r="I369" i="18"/>
  <c r="K368" i="18"/>
  <c r="J368" i="18"/>
  <c r="U365" i="18"/>
  <c r="T365" i="18"/>
  <c r="N365" i="18"/>
  <c r="N363" i="18" s="1"/>
  <c r="M365" i="18"/>
  <c r="P365" i="18" s="1"/>
  <c r="L365" i="18"/>
  <c r="U364" i="18"/>
  <c r="T364" i="18"/>
  <c r="P364" i="18"/>
  <c r="O364" i="18"/>
  <c r="S363" i="18"/>
  <c r="R363" i="18"/>
  <c r="U363" i="18" s="1"/>
  <c r="Q363" i="18"/>
  <c r="T363" i="18" s="1"/>
  <c r="U362" i="18"/>
  <c r="T362" i="18"/>
  <c r="N362" i="18"/>
  <c r="N360" i="18" s="1"/>
  <c r="M362" i="18"/>
  <c r="M360" i="18" s="1"/>
  <c r="L362" i="18"/>
  <c r="L360" i="18" s="1"/>
  <c r="U361" i="18"/>
  <c r="T361" i="18"/>
  <c r="P361" i="18"/>
  <c r="O361" i="18"/>
  <c r="U360" i="18"/>
  <c r="T360" i="18"/>
  <c r="S360" i="18"/>
  <c r="R360" i="18"/>
  <c r="Q360" i="18"/>
  <c r="T359" i="18"/>
  <c r="S359" i="18"/>
  <c r="S357" i="18" s="1"/>
  <c r="R359" i="18"/>
  <c r="U359" i="18" s="1"/>
  <c r="Q359" i="18"/>
  <c r="S358" i="18"/>
  <c r="R358" i="18"/>
  <c r="Q358" i="18"/>
  <c r="T358" i="18" s="1"/>
  <c r="P358" i="18"/>
  <c r="N358" i="18"/>
  <c r="M358" i="18"/>
  <c r="L358" i="18"/>
  <c r="D355" i="18"/>
  <c r="J354" i="18"/>
  <c r="J353" i="18"/>
  <c r="D351" i="18"/>
  <c r="J350" i="18"/>
  <c r="J349" i="18"/>
  <c r="J348" i="18"/>
  <c r="J347" i="18"/>
  <c r="I347" i="18"/>
  <c r="J345" i="18"/>
  <c r="I345" i="18"/>
  <c r="U342" i="18"/>
  <c r="T342" i="18"/>
  <c r="N342" i="18"/>
  <c r="M342" i="18"/>
  <c r="P342" i="18" s="1"/>
  <c r="L342" i="18"/>
  <c r="O342" i="18" s="1"/>
  <c r="U341" i="18"/>
  <c r="T341" i="18"/>
  <c r="P341" i="18"/>
  <c r="O341" i="18"/>
  <c r="U340" i="18"/>
  <c r="T340" i="18"/>
  <c r="S340" i="18"/>
  <c r="R340" i="18"/>
  <c r="Q340" i="18"/>
  <c r="U339" i="18"/>
  <c r="T339" i="18"/>
  <c r="N339" i="18"/>
  <c r="M339" i="18"/>
  <c r="M337" i="18" s="1"/>
  <c r="L339" i="18"/>
  <c r="L337" i="18" s="1"/>
  <c r="U338" i="18"/>
  <c r="T338" i="18"/>
  <c r="P338" i="18"/>
  <c r="O338" i="18"/>
  <c r="S337" i="18"/>
  <c r="R337" i="18"/>
  <c r="U337" i="18" s="1"/>
  <c r="Q337" i="18"/>
  <c r="T337" i="18" s="1"/>
  <c r="U336" i="18"/>
  <c r="S336" i="18"/>
  <c r="R336" i="18"/>
  <c r="Q336" i="18"/>
  <c r="T336" i="18" s="1"/>
  <c r="U335" i="18"/>
  <c r="T335" i="18"/>
  <c r="S335" i="18"/>
  <c r="R335" i="18"/>
  <c r="Q335" i="18"/>
  <c r="Q334" i="18" s="1"/>
  <c r="T334" i="18" s="1"/>
  <c r="O335" i="18"/>
  <c r="N335" i="18"/>
  <c r="M335" i="18"/>
  <c r="P335" i="18" s="1"/>
  <c r="L335" i="18"/>
  <c r="S334" i="18"/>
  <c r="R334" i="18"/>
  <c r="U334" i="18" s="1"/>
  <c r="I331" i="18"/>
  <c r="U329" i="18"/>
  <c r="T329" i="18"/>
  <c r="N329" i="18"/>
  <c r="N327" i="18" s="1"/>
  <c r="M329" i="18"/>
  <c r="L329" i="18"/>
  <c r="O329" i="18" s="1"/>
  <c r="U328" i="18"/>
  <c r="T328" i="18"/>
  <c r="P328" i="18"/>
  <c r="O328" i="18"/>
  <c r="U327" i="18"/>
  <c r="T327" i="18"/>
  <c r="S327" i="18"/>
  <c r="R327" i="18"/>
  <c r="Q327" i="18"/>
  <c r="U326" i="18"/>
  <c r="T326" i="18"/>
  <c r="N326" i="18"/>
  <c r="M326" i="18"/>
  <c r="M324" i="18" s="1"/>
  <c r="L326" i="18"/>
  <c r="U325" i="18"/>
  <c r="T325" i="18"/>
  <c r="P325" i="18"/>
  <c r="O325" i="18"/>
  <c r="S324" i="18"/>
  <c r="R324" i="18"/>
  <c r="U324" i="18" s="1"/>
  <c r="Q324" i="18"/>
  <c r="T324" i="18" s="1"/>
  <c r="U323" i="18"/>
  <c r="T323" i="18"/>
  <c r="S323" i="18"/>
  <c r="R323" i="18"/>
  <c r="Q323" i="18"/>
  <c r="T322" i="18"/>
  <c r="S322" i="18"/>
  <c r="S321" i="18" s="1"/>
  <c r="R322" i="18"/>
  <c r="U322" i="18" s="1"/>
  <c r="Q322" i="18"/>
  <c r="N322" i="18"/>
  <c r="M322" i="18"/>
  <c r="P322" i="18" s="1"/>
  <c r="L322" i="18"/>
  <c r="O322" i="18" s="1"/>
  <c r="R321" i="18"/>
  <c r="U321" i="18" s="1"/>
  <c r="Q321" i="18"/>
  <c r="T321" i="18" s="1"/>
  <c r="J320" i="18"/>
  <c r="I315" i="18"/>
  <c r="I303" i="18" s="1"/>
  <c r="K303" i="18" s="1"/>
  <c r="U312" i="18"/>
  <c r="T312" i="18"/>
  <c r="N312" i="18"/>
  <c r="N310" i="18" s="1"/>
  <c r="M312" i="18"/>
  <c r="P312" i="18" s="1"/>
  <c r="L312" i="18"/>
  <c r="U311" i="18"/>
  <c r="T311" i="18"/>
  <c r="P311" i="18"/>
  <c r="O311" i="18"/>
  <c r="T310" i="18"/>
  <c r="S310" i="18"/>
  <c r="R310" i="18"/>
  <c r="U310" i="18" s="1"/>
  <c r="Q310" i="18"/>
  <c r="S309" i="18"/>
  <c r="S306" i="18" s="1"/>
  <c r="S304" i="18" s="1"/>
  <c r="R309" i="18"/>
  <c r="R306" i="18" s="1"/>
  <c r="Q309" i="18"/>
  <c r="Q307" i="18" s="1"/>
  <c r="N309" i="18"/>
  <c r="N307" i="18" s="1"/>
  <c r="M309" i="18"/>
  <c r="L309" i="18"/>
  <c r="U308" i="18"/>
  <c r="T308" i="18"/>
  <c r="P308" i="18"/>
  <c r="O308" i="18"/>
  <c r="U305" i="18"/>
  <c r="T305" i="18"/>
  <c r="S305" i="18"/>
  <c r="R305" i="18"/>
  <c r="Q305" i="18"/>
  <c r="P305" i="18"/>
  <c r="O305" i="18"/>
  <c r="N305" i="18"/>
  <c r="M305" i="18"/>
  <c r="L305" i="18"/>
  <c r="J303" i="18"/>
  <c r="I297" i="18"/>
  <c r="K297" i="18" s="1"/>
  <c r="I296" i="18"/>
  <c r="K296" i="18" s="1"/>
  <c r="J294" i="18"/>
  <c r="I294" i="18"/>
  <c r="I293" i="18"/>
  <c r="I282" i="18" s="1"/>
  <c r="K282" i="18" s="1"/>
  <c r="U291" i="18"/>
  <c r="T291" i="18"/>
  <c r="N291" i="18"/>
  <c r="N289" i="18" s="1"/>
  <c r="M291" i="18"/>
  <c r="P291" i="18" s="1"/>
  <c r="L291" i="18"/>
  <c r="L289" i="18" s="1"/>
  <c r="O289" i="18" s="1"/>
  <c r="U290" i="18"/>
  <c r="T290" i="18"/>
  <c r="P290" i="18"/>
  <c r="O290" i="18"/>
  <c r="U289" i="18"/>
  <c r="S289" i="18"/>
  <c r="R289" i="18"/>
  <c r="Q289" i="18"/>
  <c r="T289" i="18" s="1"/>
  <c r="U288" i="18"/>
  <c r="T288" i="18"/>
  <c r="N288" i="18"/>
  <c r="M288" i="18"/>
  <c r="M286" i="18" s="1"/>
  <c r="L288" i="18"/>
  <c r="U287" i="18"/>
  <c r="T287" i="18"/>
  <c r="P287" i="18"/>
  <c r="O287" i="18"/>
  <c r="T286" i="18"/>
  <c r="S286" i="18"/>
  <c r="R286" i="18"/>
  <c r="U286" i="18" s="1"/>
  <c r="Q286" i="18"/>
  <c r="S285" i="18"/>
  <c r="R285" i="18"/>
  <c r="U285" i="18" s="1"/>
  <c r="Q285" i="18"/>
  <c r="Q283" i="18" s="1"/>
  <c r="T283" i="18" s="1"/>
  <c r="U284" i="18"/>
  <c r="T284" i="18"/>
  <c r="S284" i="18"/>
  <c r="R284" i="18"/>
  <c r="R283" i="18" s="1"/>
  <c r="U283" i="18" s="1"/>
  <c r="Q284" i="18"/>
  <c r="P284" i="18"/>
  <c r="O284" i="18"/>
  <c r="N284" i="18"/>
  <c r="M284" i="18"/>
  <c r="L284" i="18"/>
  <c r="S283" i="18"/>
  <c r="J282" i="18"/>
  <c r="J281" i="18"/>
  <c r="I277" i="18"/>
  <c r="K277" i="18" s="1"/>
  <c r="U275" i="18"/>
  <c r="T275" i="18"/>
  <c r="N275" i="18"/>
  <c r="N273" i="18" s="1"/>
  <c r="M275" i="18"/>
  <c r="P275" i="18" s="1"/>
  <c r="L275" i="18"/>
  <c r="O275" i="18" s="1"/>
  <c r="U274" i="18"/>
  <c r="T274" i="18"/>
  <c r="P274" i="18"/>
  <c r="O274" i="18"/>
  <c r="S273" i="18"/>
  <c r="R273" i="18"/>
  <c r="U273" i="18" s="1"/>
  <c r="Q273" i="18"/>
  <c r="T273" i="18" s="1"/>
  <c r="S272" i="18"/>
  <c r="S270" i="18" s="1"/>
  <c r="R272" i="18"/>
  <c r="R269" i="18" s="1"/>
  <c r="R267" i="18" s="1"/>
  <c r="Q272" i="18"/>
  <c r="N272" i="18"/>
  <c r="N270" i="18" s="1"/>
  <c r="M272" i="18"/>
  <c r="L272" i="18"/>
  <c r="O272" i="18" s="1"/>
  <c r="U271" i="18"/>
  <c r="T271" i="18"/>
  <c r="P271" i="18"/>
  <c r="O271" i="18"/>
  <c r="U268" i="18"/>
  <c r="T268" i="18"/>
  <c r="S268" i="18"/>
  <c r="R268" i="18"/>
  <c r="Q268" i="18"/>
  <c r="N268" i="18"/>
  <c r="M268" i="18"/>
  <c r="P268" i="18" s="1"/>
  <c r="L268" i="18"/>
  <c r="O268" i="18" s="1"/>
  <c r="J266" i="18"/>
  <c r="K264" i="18"/>
  <c r="K263" i="18"/>
  <c r="I261" i="18"/>
  <c r="K261" i="18" s="1"/>
  <c r="L259" i="18"/>
  <c r="L258" i="18"/>
  <c r="L257" i="18"/>
  <c r="L256" i="18"/>
  <c r="P255" i="18"/>
  <c r="N255" i="18"/>
  <c r="N233" i="18" s="1"/>
  <c r="J254" i="18"/>
  <c r="K253" i="18"/>
  <c r="K252" i="18"/>
  <c r="I250" i="18"/>
  <c r="K250" i="18" s="1"/>
  <c r="L248" i="18"/>
  <c r="L247" i="18"/>
  <c r="L246" i="18"/>
  <c r="L245" i="18"/>
  <c r="P244" i="18"/>
  <c r="N244" i="18"/>
  <c r="J243" i="18"/>
  <c r="J242" i="18"/>
  <c r="I242" i="18"/>
  <c r="K242" i="18" s="1"/>
  <c r="J241" i="18"/>
  <c r="I241" i="18"/>
  <c r="K241" i="18" s="1"/>
  <c r="J239" i="18"/>
  <c r="N237" i="18"/>
  <c r="N236" i="18"/>
  <c r="N235" i="18"/>
  <c r="N234" i="18"/>
  <c r="J232" i="18"/>
  <c r="J186" i="18" s="1"/>
  <c r="I231" i="18"/>
  <c r="K231" i="18" s="1"/>
  <c r="I230" i="18"/>
  <c r="K230" i="18" s="1"/>
  <c r="I229" i="18"/>
  <c r="K229" i="18" s="1"/>
  <c r="L226" i="18"/>
  <c r="L225" i="18"/>
  <c r="L224" i="18"/>
  <c r="P223" i="18"/>
  <c r="N223" i="18"/>
  <c r="J222" i="18"/>
  <c r="I221" i="18"/>
  <c r="I220" i="18"/>
  <c r="K220" i="18" s="1"/>
  <c r="L218" i="18"/>
  <c r="L217" i="18"/>
  <c r="L216" i="18"/>
  <c r="P215" i="18"/>
  <c r="N215" i="18"/>
  <c r="J214" i="18"/>
  <c r="I213" i="18"/>
  <c r="K213" i="18" s="1"/>
  <c r="I212" i="18"/>
  <c r="K212" i="18" s="1"/>
  <c r="I210" i="18"/>
  <c r="K210" i="18" s="1"/>
  <c r="L208" i="18"/>
  <c r="L207" i="18"/>
  <c r="L206" i="18"/>
  <c r="L205" i="18"/>
  <c r="P204" i="18"/>
  <c r="N204" i="18"/>
  <c r="J203" i="18"/>
  <c r="J200" i="18"/>
  <c r="I199" i="18"/>
  <c r="I196" i="18" s="1"/>
  <c r="P197" i="18"/>
  <c r="L197" i="18"/>
  <c r="O197" i="18" s="1"/>
  <c r="J196" i="18"/>
  <c r="U195" i="18"/>
  <c r="T195" i="18"/>
  <c r="N195" i="18"/>
  <c r="N193" i="18" s="1"/>
  <c r="M195" i="18"/>
  <c r="P195" i="18" s="1"/>
  <c r="L195" i="18"/>
  <c r="O195" i="18" s="1"/>
  <c r="U194" i="18"/>
  <c r="T194" i="18"/>
  <c r="P194" i="18"/>
  <c r="O194" i="18"/>
  <c r="S193" i="18"/>
  <c r="R193" i="18"/>
  <c r="U193" i="18" s="1"/>
  <c r="Q193" i="18"/>
  <c r="T193" i="18" s="1"/>
  <c r="S192" i="18"/>
  <c r="S190" i="18" s="1"/>
  <c r="R192" i="18"/>
  <c r="R190" i="18" s="1"/>
  <c r="Q192" i="18"/>
  <c r="N192" i="18"/>
  <c r="N190" i="18" s="1"/>
  <c r="M192" i="18"/>
  <c r="M190" i="18" s="1"/>
  <c r="L192" i="18"/>
  <c r="L190" i="18" s="1"/>
  <c r="U191" i="18"/>
  <c r="T191" i="18"/>
  <c r="P191" i="18"/>
  <c r="O191" i="18"/>
  <c r="S188" i="18"/>
  <c r="R188" i="18"/>
  <c r="U188" i="18" s="1"/>
  <c r="Q188" i="18"/>
  <c r="O188" i="18"/>
  <c r="N188" i="18"/>
  <c r="M188" i="18"/>
  <c r="P188" i="18" s="1"/>
  <c r="L188" i="18"/>
  <c r="K185" i="18"/>
  <c r="I184" i="18"/>
  <c r="I173" i="18" s="1"/>
  <c r="U182" i="18"/>
  <c r="T182" i="18"/>
  <c r="N182" i="18"/>
  <c r="N180" i="18" s="1"/>
  <c r="M182" i="18"/>
  <c r="M180" i="18" s="1"/>
  <c r="P180" i="18" s="1"/>
  <c r="L182" i="18"/>
  <c r="U181" i="18"/>
  <c r="T181" i="18"/>
  <c r="P181" i="18"/>
  <c r="O181" i="18"/>
  <c r="U180" i="18"/>
  <c r="T180" i="18"/>
  <c r="S180" i="18"/>
  <c r="R180" i="18"/>
  <c r="Q180" i="18"/>
  <c r="S179" i="18"/>
  <c r="S176" i="18" s="1"/>
  <c r="S174" i="18" s="1"/>
  <c r="R179" i="18"/>
  <c r="R177" i="18" s="1"/>
  <c r="U177" i="18" s="1"/>
  <c r="Q179" i="18"/>
  <c r="Q177" i="18" s="1"/>
  <c r="T177" i="18" s="1"/>
  <c r="N179" i="18"/>
  <c r="M179" i="18"/>
  <c r="M177" i="18" s="1"/>
  <c r="L179" i="18"/>
  <c r="U178" i="18"/>
  <c r="T178" i="18"/>
  <c r="P178" i="18"/>
  <c r="O178" i="18"/>
  <c r="S175" i="18"/>
  <c r="R175" i="18"/>
  <c r="U175" i="18" s="1"/>
  <c r="Q175" i="18"/>
  <c r="P175" i="18"/>
  <c r="N175" i="18"/>
  <c r="M175" i="18"/>
  <c r="L175" i="18"/>
  <c r="J173" i="18"/>
  <c r="I168" i="18"/>
  <c r="I170" i="18" s="1"/>
  <c r="K170" i="18" s="1"/>
  <c r="U166" i="18"/>
  <c r="T166" i="18"/>
  <c r="N166" i="18"/>
  <c r="N164" i="18" s="1"/>
  <c r="M166" i="18"/>
  <c r="M164" i="18" s="1"/>
  <c r="P164" i="18" s="1"/>
  <c r="L166" i="18"/>
  <c r="O166" i="18" s="1"/>
  <c r="U165" i="18"/>
  <c r="T165" i="18"/>
  <c r="P165" i="18"/>
  <c r="O165" i="18"/>
  <c r="T164" i="18"/>
  <c r="S164" i="18"/>
  <c r="R164" i="18"/>
  <c r="U164" i="18" s="1"/>
  <c r="Q164" i="18"/>
  <c r="S163" i="18"/>
  <c r="R163" i="18"/>
  <c r="U163" i="18" s="1"/>
  <c r="Q161" i="18"/>
  <c r="T161" i="18" s="1"/>
  <c r="N163" i="18"/>
  <c r="M163" i="18"/>
  <c r="M161" i="18" s="1"/>
  <c r="L163" i="18"/>
  <c r="U162" i="18"/>
  <c r="T162" i="18"/>
  <c r="P162" i="18"/>
  <c r="O162" i="18"/>
  <c r="U159" i="18"/>
  <c r="S159" i="18"/>
  <c r="R159" i="18"/>
  <c r="Q159" i="18"/>
  <c r="P159" i="18"/>
  <c r="O159" i="18"/>
  <c r="N159" i="18"/>
  <c r="M159" i="18"/>
  <c r="L159" i="18"/>
  <c r="J157" i="18"/>
  <c r="I155" i="18"/>
  <c r="I154" i="18"/>
  <c r="K154" i="18" s="1"/>
  <c r="I153" i="18"/>
  <c r="I138" i="18" s="1"/>
  <c r="K138" i="18" s="1"/>
  <c r="I152" i="18"/>
  <c r="K152" i="18" s="1"/>
  <c r="I151" i="18"/>
  <c r="K151" i="18" s="1"/>
  <c r="U148" i="18"/>
  <c r="T148" i="18"/>
  <c r="N148" i="18"/>
  <c r="N146" i="18" s="1"/>
  <c r="M148" i="18"/>
  <c r="P148" i="18" s="1"/>
  <c r="L148" i="18"/>
  <c r="O148" i="18" s="1"/>
  <c r="U147" i="18"/>
  <c r="T147" i="18"/>
  <c r="P147" i="18"/>
  <c r="O147" i="18"/>
  <c r="T146" i="18"/>
  <c r="S146" i="18"/>
  <c r="R146" i="18"/>
  <c r="U146" i="18" s="1"/>
  <c r="Q146" i="18"/>
  <c r="S145" i="18"/>
  <c r="S142" i="18" s="1"/>
  <c r="R145" i="18"/>
  <c r="U145" i="18" s="1"/>
  <c r="Q145" i="18"/>
  <c r="T145" i="18" s="1"/>
  <c r="N145" i="18"/>
  <c r="N143" i="18" s="1"/>
  <c r="M145" i="18"/>
  <c r="L145" i="18"/>
  <c r="U144" i="18"/>
  <c r="T144" i="18"/>
  <c r="P144" i="18"/>
  <c r="O144" i="18"/>
  <c r="U141" i="18"/>
  <c r="T141" i="18"/>
  <c r="S141" i="18"/>
  <c r="R141" i="18"/>
  <c r="Q141" i="18"/>
  <c r="O141" i="18"/>
  <c r="N141" i="18"/>
  <c r="M141" i="18"/>
  <c r="L141" i="18"/>
  <c r="J139" i="18"/>
  <c r="J138" i="18"/>
  <c r="J137" i="18"/>
  <c r="I131" i="18"/>
  <c r="K131" i="18" s="1"/>
  <c r="I130" i="18"/>
  <c r="K130" i="18" s="1"/>
  <c r="I129" i="18"/>
  <c r="K129" i="18" s="1"/>
  <c r="I128" i="18"/>
  <c r="I117" i="18" s="1"/>
  <c r="U126" i="18"/>
  <c r="T126" i="18"/>
  <c r="N126" i="18"/>
  <c r="N124" i="18" s="1"/>
  <c r="M126" i="18"/>
  <c r="M124" i="18" s="1"/>
  <c r="P124" i="18" s="1"/>
  <c r="L126" i="18"/>
  <c r="O126" i="18" s="1"/>
  <c r="U125" i="18"/>
  <c r="T125" i="18"/>
  <c r="P125" i="18"/>
  <c r="O125" i="18"/>
  <c r="U124" i="18"/>
  <c r="T124" i="18"/>
  <c r="S124" i="18"/>
  <c r="R124" i="18"/>
  <c r="Q124" i="18"/>
  <c r="S123" i="18"/>
  <c r="S121" i="18" s="1"/>
  <c r="R123" i="18"/>
  <c r="Q123" i="18"/>
  <c r="Q121" i="18" s="1"/>
  <c r="N123" i="18"/>
  <c r="M123" i="18"/>
  <c r="M121" i="18" s="1"/>
  <c r="P121" i="18" s="1"/>
  <c r="L123" i="18"/>
  <c r="O123" i="18" s="1"/>
  <c r="U122" i="18"/>
  <c r="T122" i="18"/>
  <c r="P122" i="18"/>
  <c r="O122" i="18"/>
  <c r="U119" i="18"/>
  <c r="T119" i="18"/>
  <c r="S119" i="18"/>
  <c r="R119" i="18"/>
  <c r="Q119" i="18"/>
  <c r="P119" i="18"/>
  <c r="O119" i="18"/>
  <c r="N119" i="18"/>
  <c r="M119" i="18"/>
  <c r="L119" i="18"/>
  <c r="J117" i="18"/>
  <c r="I115" i="18"/>
  <c r="K115" i="18" s="1"/>
  <c r="I110" i="18"/>
  <c r="I94" i="18" s="1"/>
  <c r="K94" i="18" s="1"/>
  <c r="I109" i="18"/>
  <c r="K109" i="18" s="1"/>
  <c r="U103" i="18"/>
  <c r="T103" i="18"/>
  <c r="N103" i="18"/>
  <c r="N101" i="18" s="1"/>
  <c r="M103" i="18"/>
  <c r="P103" i="18" s="1"/>
  <c r="L103" i="18"/>
  <c r="O103" i="18" s="1"/>
  <c r="U102" i="18"/>
  <c r="T102" i="18"/>
  <c r="P102" i="18"/>
  <c r="O102" i="18"/>
  <c r="S101" i="18"/>
  <c r="R101" i="18"/>
  <c r="U101" i="18" s="1"/>
  <c r="Q101" i="18"/>
  <c r="T101" i="18" s="1"/>
  <c r="S100" i="18"/>
  <c r="S98" i="18" s="1"/>
  <c r="R100" i="18"/>
  <c r="R97" i="18" s="1"/>
  <c r="U97" i="18" s="1"/>
  <c r="Q98" i="18"/>
  <c r="T98" i="18" s="1"/>
  <c r="N100" i="18"/>
  <c r="M100" i="18"/>
  <c r="L100" i="18"/>
  <c r="O100" i="18" s="1"/>
  <c r="U99" i="18"/>
  <c r="T99" i="18"/>
  <c r="P99" i="18"/>
  <c r="O99" i="18"/>
  <c r="S96" i="18"/>
  <c r="R96" i="18"/>
  <c r="U96" i="18" s="1"/>
  <c r="Q96" i="18"/>
  <c r="T96" i="18" s="1"/>
  <c r="N96" i="18"/>
  <c r="M96" i="18"/>
  <c r="P96" i="18" s="1"/>
  <c r="L96" i="18"/>
  <c r="O96" i="18" s="1"/>
  <c r="J94" i="18"/>
  <c r="J93" i="18"/>
  <c r="I91" i="18"/>
  <c r="K91" i="18" s="1"/>
  <c r="I90" i="18"/>
  <c r="K90" i="18" s="1"/>
  <c r="I89" i="18"/>
  <c r="K89" i="18" s="1"/>
  <c r="I88" i="18"/>
  <c r="K88" i="18" s="1"/>
  <c r="I87" i="18"/>
  <c r="I86" i="18"/>
  <c r="K86" i="18" s="1"/>
  <c r="I85" i="18"/>
  <c r="K85" i="18" s="1"/>
  <c r="J84" i="18"/>
  <c r="J72" i="18" s="1"/>
  <c r="J83" i="18"/>
  <c r="U81" i="18"/>
  <c r="T81" i="18"/>
  <c r="N81" i="18"/>
  <c r="N79" i="18" s="1"/>
  <c r="M81" i="18"/>
  <c r="P81" i="18" s="1"/>
  <c r="L81" i="18"/>
  <c r="O81" i="18" s="1"/>
  <c r="U80" i="18"/>
  <c r="T80" i="18"/>
  <c r="P80" i="18"/>
  <c r="O80" i="18"/>
  <c r="S79" i="18"/>
  <c r="R79" i="18"/>
  <c r="U79" i="18" s="1"/>
  <c r="Q79" i="18"/>
  <c r="T79" i="18" s="1"/>
  <c r="S78" i="18"/>
  <c r="S75" i="18" s="1"/>
  <c r="R78" i="18"/>
  <c r="R76" i="18" s="1"/>
  <c r="Q78" i="18"/>
  <c r="Q75" i="18" s="1"/>
  <c r="N78" i="18"/>
  <c r="N76" i="18" s="1"/>
  <c r="M78" i="18"/>
  <c r="M76" i="18" s="1"/>
  <c r="L78" i="18"/>
  <c r="L76" i="18" s="1"/>
  <c r="U77" i="18"/>
  <c r="T77" i="18"/>
  <c r="P77" i="18"/>
  <c r="O77" i="18"/>
  <c r="S74" i="18"/>
  <c r="R74" i="18"/>
  <c r="U74" i="18" s="1"/>
  <c r="Q74" i="18"/>
  <c r="T74" i="18" s="1"/>
  <c r="N74" i="18"/>
  <c r="M74" i="18"/>
  <c r="P74" i="18" s="1"/>
  <c r="L74" i="18"/>
  <c r="O74" i="18" s="1"/>
  <c r="J71" i="18"/>
  <c r="U68" i="18"/>
  <c r="T68" i="18"/>
  <c r="N68" i="18"/>
  <c r="M68" i="18"/>
  <c r="M66" i="18" s="1"/>
  <c r="P66" i="18" s="1"/>
  <c r="L68" i="18"/>
  <c r="L66" i="18" s="1"/>
  <c r="O66" i="18" s="1"/>
  <c r="U67" i="18"/>
  <c r="T67" i="18"/>
  <c r="P67" i="18"/>
  <c r="O67" i="18"/>
  <c r="S66" i="18"/>
  <c r="R66" i="18"/>
  <c r="U66" i="18" s="1"/>
  <c r="Q66" i="18"/>
  <c r="T66" i="18" s="1"/>
  <c r="U65" i="18"/>
  <c r="T65" i="18"/>
  <c r="N65" i="18"/>
  <c r="N63" i="18" s="1"/>
  <c r="M65" i="18"/>
  <c r="L65" i="18"/>
  <c r="U64" i="18"/>
  <c r="T64" i="18"/>
  <c r="P64" i="18"/>
  <c r="O64" i="18"/>
  <c r="T63" i="18"/>
  <c r="S63" i="18"/>
  <c r="R63" i="18"/>
  <c r="U63" i="18" s="1"/>
  <c r="Q63" i="18"/>
  <c r="U62" i="18"/>
  <c r="S62" i="18"/>
  <c r="R62" i="18"/>
  <c r="R60" i="18" s="1"/>
  <c r="U60" i="18" s="1"/>
  <c r="Q62" i="18"/>
  <c r="T62" i="18" s="1"/>
  <c r="U61" i="18"/>
  <c r="S61" i="18"/>
  <c r="S60" i="18" s="1"/>
  <c r="R61" i="18"/>
  <c r="Q61" i="18"/>
  <c r="T61" i="18" s="1"/>
  <c r="O61" i="18"/>
  <c r="N61" i="18"/>
  <c r="M61" i="18"/>
  <c r="P61" i="18" s="1"/>
  <c r="L61" i="18"/>
  <c r="Q60" i="18"/>
  <c r="T60" i="18" s="1"/>
  <c r="U53" i="18"/>
  <c r="T53" i="18"/>
  <c r="N53" i="18"/>
  <c r="M53" i="18"/>
  <c r="P53" i="18" s="1"/>
  <c r="L53" i="18"/>
  <c r="O53" i="18" s="1"/>
  <c r="U52" i="18"/>
  <c r="T52" i="18"/>
  <c r="P52" i="18"/>
  <c r="O52" i="18"/>
  <c r="S51" i="18"/>
  <c r="R51" i="18"/>
  <c r="U51" i="18" s="1"/>
  <c r="Q51" i="18"/>
  <c r="T51" i="18" s="1"/>
  <c r="U50" i="18"/>
  <c r="T50" i="18"/>
  <c r="N50" i="18"/>
  <c r="N48" i="18" s="1"/>
  <c r="M50" i="18"/>
  <c r="L50" i="18"/>
  <c r="U49" i="18"/>
  <c r="T49" i="18"/>
  <c r="P49" i="18"/>
  <c r="O49" i="18"/>
  <c r="U48" i="18"/>
  <c r="T48" i="18"/>
  <c r="S48" i="18"/>
  <c r="R48" i="18"/>
  <c r="Q48" i="18"/>
  <c r="U47" i="18"/>
  <c r="S47" i="18"/>
  <c r="R47" i="18"/>
  <c r="Q47" i="18"/>
  <c r="T47" i="18" s="1"/>
  <c r="U46" i="18"/>
  <c r="T46" i="18"/>
  <c r="S46" i="18"/>
  <c r="S45" i="18" s="1"/>
  <c r="R46" i="18"/>
  <c r="Q46" i="18"/>
  <c r="Q45" i="18" s="1"/>
  <c r="T45" i="18" s="1"/>
  <c r="O46" i="18"/>
  <c r="N46" i="18"/>
  <c r="M46" i="18"/>
  <c r="P46" i="18" s="1"/>
  <c r="L46" i="18"/>
  <c r="R45" i="18"/>
  <c r="U45" i="18" s="1"/>
  <c r="S27" i="18"/>
  <c r="R27" i="18"/>
  <c r="U27" i="18" s="1"/>
  <c r="Q27" i="18"/>
  <c r="T27" i="18" s="1"/>
  <c r="U26" i="18"/>
  <c r="S26" i="18"/>
  <c r="R26" i="18"/>
  <c r="Q26" i="18"/>
  <c r="T26" i="18" s="1"/>
  <c r="N26" i="18"/>
  <c r="M26" i="18"/>
  <c r="P26" i="18" s="1"/>
  <c r="L26" i="18"/>
  <c r="O26" i="18" s="1"/>
  <c r="R25" i="18"/>
  <c r="U25" i="18" s="1"/>
  <c r="S23" i="18"/>
  <c r="R23" i="18"/>
  <c r="Q23" i="18"/>
  <c r="Q20" i="18" s="1"/>
  <c r="T20" i="18" s="1"/>
  <c r="N23" i="18"/>
  <c r="M23" i="18"/>
  <c r="P23" i="18" s="1"/>
  <c r="L23" i="18"/>
  <c r="A788" i="17"/>
  <c r="J785" i="17"/>
  <c r="I785" i="17"/>
  <c r="J784" i="17"/>
  <c r="I784" i="17"/>
  <c r="J783" i="17"/>
  <c r="I783" i="17"/>
  <c r="J782" i="17"/>
  <c r="I782" i="17"/>
  <c r="J781" i="17"/>
  <c r="I781" i="17"/>
  <c r="J780" i="17"/>
  <c r="I780" i="17"/>
  <c r="J779" i="17"/>
  <c r="I779" i="17"/>
  <c r="J778" i="17"/>
  <c r="I778" i="17"/>
  <c r="H777" i="17"/>
  <c r="I776" i="17"/>
  <c r="I775" i="17"/>
  <c r="I774" i="17"/>
  <c r="I772" i="17"/>
  <c r="I758" i="17" s="1"/>
  <c r="K758" i="17" s="1"/>
  <c r="I770" i="17"/>
  <c r="K770" i="17" s="1"/>
  <c r="U768" i="17"/>
  <c r="T768" i="17"/>
  <c r="P768" i="17"/>
  <c r="O768" i="17"/>
  <c r="U767" i="17"/>
  <c r="T767" i="17"/>
  <c r="P767" i="17"/>
  <c r="O767" i="17"/>
  <c r="S766" i="17"/>
  <c r="R766" i="17"/>
  <c r="U766" i="17" s="1"/>
  <c r="Q766" i="17"/>
  <c r="T766" i="17" s="1"/>
  <c r="P766" i="17"/>
  <c r="N766" i="17"/>
  <c r="M766" i="17"/>
  <c r="L766" i="17"/>
  <c r="O766" i="17" s="1"/>
  <c r="S765" i="17"/>
  <c r="S763" i="17" s="1"/>
  <c r="R765" i="17"/>
  <c r="R762" i="17" s="1"/>
  <c r="Q765" i="17"/>
  <c r="Q763" i="17" s="1"/>
  <c r="P765" i="17"/>
  <c r="O765" i="17"/>
  <c r="U764" i="17"/>
  <c r="T764" i="17"/>
  <c r="P764" i="17"/>
  <c r="O764" i="17"/>
  <c r="O763" i="17"/>
  <c r="N763" i="17"/>
  <c r="M763" i="17"/>
  <c r="P763" i="17" s="1"/>
  <c r="L763" i="17"/>
  <c r="N762" i="17"/>
  <c r="M762" i="17"/>
  <c r="P762" i="17" s="1"/>
  <c r="L762" i="17"/>
  <c r="O762" i="17" s="1"/>
  <c r="U761" i="17"/>
  <c r="S761" i="17"/>
  <c r="R761" i="17"/>
  <c r="Q761" i="17"/>
  <c r="T761" i="17" s="1"/>
  <c r="O761" i="17"/>
  <c r="N761" i="17"/>
  <c r="N760" i="17" s="1"/>
  <c r="M761" i="17"/>
  <c r="P761" i="17" s="1"/>
  <c r="L761" i="17"/>
  <c r="L760" i="17" s="1"/>
  <c r="O760" i="17" s="1"/>
  <c r="M760" i="17"/>
  <c r="P760" i="17" s="1"/>
  <c r="J759" i="17"/>
  <c r="J758" i="17"/>
  <c r="I756" i="17"/>
  <c r="K756" i="17" s="1"/>
  <c r="I753" i="17"/>
  <c r="K753" i="17" s="1"/>
  <c r="I750" i="17"/>
  <c r="K750" i="17" s="1"/>
  <c r="I747" i="17"/>
  <c r="K747" i="17" s="1"/>
  <c r="I745" i="17"/>
  <c r="K745" i="17" s="1"/>
  <c r="I743" i="17"/>
  <c r="K743" i="17" s="1"/>
  <c r="I741" i="17"/>
  <c r="K741" i="17" s="1"/>
  <c r="U737" i="17"/>
  <c r="T737" i="17"/>
  <c r="P737" i="17"/>
  <c r="O737" i="17"/>
  <c r="U736" i="17"/>
  <c r="T736" i="17"/>
  <c r="P736" i="17"/>
  <c r="O736" i="17"/>
  <c r="U735" i="17"/>
  <c r="S735" i="17"/>
  <c r="R735" i="17"/>
  <c r="Q735" i="17"/>
  <c r="T735" i="17" s="1"/>
  <c r="O735" i="17"/>
  <c r="N735" i="17"/>
  <c r="M735" i="17"/>
  <c r="P735" i="17" s="1"/>
  <c r="L735" i="17"/>
  <c r="S734" i="17"/>
  <c r="R734" i="17"/>
  <c r="R731" i="17" s="1"/>
  <c r="R729" i="17" s="1"/>
  <c r="Q734" i="17"/>
  <c r="Q731" i="17" s="1"/>
  <c r="P734" i="17"/>
  <c r="O734" i="17"/>
  <c r="U733" i="17"/>
  <c r="T733" i="17"/>
  <c r="P733" i="17"/>
  <c r="O733" i="17"/>
  <c r="N732" i="17"/>
  <c r="M732" i="17"/>
  <c r="P732" i="17" s="1"/>
  <c r="L732" i="17"/>
  <c r="O732" i="17" s="1"/>
  <c r="P731" i="17"/>
  <c r="N731" i="17"/>
  <c r="M731" i="17"/>
  <c r="M729" i="17" s="1"/>
  <c r="P729" i="17" s="1"/>
  <c r="L731" i="17"/>
  <c r="O731" i="17" s="1"/>
  <c r="T730" i="17"/>
  <c r="S730" i="17"/>
  <c r="R730" i="17"/>
  <c r="U730" i="17" s="1"/>
  <c r="Q730" i="17"/>
  <c r="P730" i="17"/>
  <c r="N730" i="17"/>
  <c r="N729" i="17" s="1"/>
  <c r="M730" i="17"/>
  <c r="L730" i="17"/>
  <c r="O730" i="17" s="1"/>
  <c r="L729" i="17"/>
  <c r="O729" i="17" s="1"/>
  <c r="J728" i="17"/>
  <c r="I728" i="17"/>
  <c r="K728" i="17" s="1"/>
  <c r="J727" i="17"/>
  <c r="I727" i="17"/>
  <c r="K727" i="17" s="1"/>
  <c r="U723" i="17"/>
  <c r="T723" i="17"/>
  <c r="P723" i="17"/>
  <c r="O723" i="17"/>
  <c r="U722" i="17"/>
  <c r="T722" i="17"/>
  <c r="P722" i="17"/>
  <c r="O722" i="17"/>
  <c r="T721" i="17"/>
  <c r="S721" i="17"/>
  <c r="R721" i="17"/>
  <c r="U721" i="17" s="1"/>
  <c r="Q721" i="17"/>
  <c r="P721" i="17"/>
  <c r="N721" i="17"/>
  <c r="M721" i="17"/>
  <c r="L721" i="17"/>
  <c r="O721" i="17" s="1"/>
  <c r="U720" i="17"/>
  <c r="T720" i="17"/>
  <c r="P720" i="17"/>
  <c r="O720" i="17"/>
  <c r="U719" i="17"/>
  <c r="T719" i="17"/>
  <c r="P719" i="17"/>
  <c r="O719" i="17"/>
  <c r="T718" i="17"/>
  <c r="S718" i="17"/>
  <c r="R718" i="17"/>
  <c r="U718" i="17" s="1"/>
  <c r="Q718" i="17"/>
  <c r="P718" i="17"/>
  <c r="N718" i="17"/>
  <c r="M718" i="17"/>
  <c r="L718" i="17"/>
  <c r="O718" i="17" s="1"/>
  <c r="T717" i="17"/>
  <c r="S717" i="17"/>
  <c r="S715" i="17" s="1"/>
  <c r="R717" i="17"/>
  <c r="U717" i="17" s="1"/>
  <c r="Q717" i="17"/>
  <c r="P717" i="17"/>
  <c r="N717" i="17"/>
  <c r="M717" i="17"/>
  <c r="M715" i="17" s="1"/>
  <c r="P715" i="17" s="1"/>
  <c r="L717" i="17"/>
  <c r="O717" i="17" s="1"/>
  <c r="T716" i="17"/>
  <c r="S716" i="17"/>
  <c r="R716" i="17"/>
  <c r="U716" i="17" s="1"/>
  <c r="Q716" i="17"/>
  <c r="Q715" i="17" s="1"/>
  <c r="T715" i="17" s="1"/>
  <c r="P716" i="17"/>
  <c r="N716" i="17"/>
  <c r="N715" i="17" s="1"/>
  <c r="M716" i="17"/>
  <c r="L716" i="17"/>
  <c r="O716" i="17" s="1"/>
  <c r="R715" i="17"/>
  <c r="U715" i="17" s="1"/>
  <c r="L715" i="17"/>
  <c r="O715" i="17" s="1"/>
  <c r="K713" i="17"/>
  <c r="J713" i="17"/>
  <c r="K711" i="17"/>
  <c r="J711" i="17"/>
  <c r="J710" i="17"/>
  <c r="I710" i="17"/>
  <c r="K709" i="17"/>
  <c r="J709" i="17"/>
  <c r="J708" i="17"/>
  <c r="J690" i="17" s="1"/>
  <c r="I708" i="17"/>
  <c r="K707" i="17"/>
  <c r="J707" i="17"/>
  <c r="J706" i="17"/>
  <c r="I706" i="17"/>
  <c r="K705" i="17"/>
  <c r="J705" i="17"/>
  <c r="J704" i="17"/>
  <c r="I704" i="17"/>
  <c r="K704" i="17" s="1"/>
  <c r="K703" i="17"/>
  <c r="I701" i="17"/>
  <c r="K701" i="17" s="1"/>
  <c r="U699" i="17"/>
  <c r="T699" i="17"/>
  <c r="P699" i="17"/>
  <c r="O699" i="17"/>
  <c r="U698" i="17"/>
  <c r="T698" i="17"/>
  <c r="P698" i="17"/>
  <c r="O698" i="17"/>
  <c r="S697" i="17"/>
  <c r="R697" i="17"/>
  <c r="U697" i="17" s="1"/>
  <c r="Q697" i="17"/>
  <c r="T697" i="17" s="1"/>
  <c r="N697" i="17"/>
  <c r="M697" i="17"/>
  <c r="P697" i="17" s="1"/>
  <c r="L697" i="17"/>
  <c r="O697" i="17" s="1"/>
  <c r="S696" i="17"/>
  <c r="R696" i="17"/>
  <c r="Q696" i="17"/>
  <c r="Q694" i="17" s="1"/>
  <c r="P696" i="17"/>
  <c r="O696" i="17"/>
  <c r="U695" i="17"/>
  <c r="T695" i="17"/>
  <c r="P695" i="17"/>
  <c r="O695" i="17"/>
  <c r="P694" i="17"/>
  <c r="N694" i="17"/>
  <c r="M694" i="17"/>
  <c r="L694" i="17"/>
  <c r="O694" i="17" s="1"/>
  <c r="N693" i="17"/>
  <c r="M693" i="17"/>
  <c r="P693" i="17" s="1"/>
  <c r="L693" i="17"/>
  <c r="T692" i="17"/>
  <c r="S692" i="17"/>
  <c r="R692" i="17"/>
  <c r="U692" i="17" s="1"/>
  <c r="Q692" i="17"/>
  <c r="P692" i="17"/>
  <c r="N692" i="17"/>
  <c r="M692" i="17"/>
  <c r="M691" i="17" s="1"/>
  <c r="P691" i="17" s="1"/>
  <c r="L692" i="17"/>
  <c r="O692" i="17" s="1"/>
  <c r="N691" i="17"/>
  <c r="J683" i="17"/>
  <c r="I683" i="17"/>
  <c r="K683" i="17" s="1"/>
  <c r="J682" i="17"/>
  <c r="I682" i="17"/>
  <c r="K682" i="17" s="1"/>
  <c r="J681" i="17"/>
  <c r="J680" i="17"/>
  <c r="I680" i="17"/>
  <c r="K680" i="17" s="1"/>
  <c r="J679" i="17"/>
  <c r="I679" i="17"/>
  <c r="J678" i="17"/>
  <c r="J677" i="17"/>
  <c r="I677" i="17"/>
  <c r="I676" i="17"/>
  <c r="I675" i="17"/>
  <c r="J674" i="17"/>
  <c r="I674" i="17"/>
  <c r="J673" i="17"/>
  <c r="J672" i="17"/>
  <c r="J662" i="17"/>
  <c r="I662" i="17"/>
  <c r="K662" i="17" s="1"/>
  <c r="I661" i="17"/>
  <c r="I658" i="17"/>
  <c r="J655" i="17"/>
  <c r="I655" i="17"/>
  <c r="K655" i="17" s="1"/>
  <c r="J654" i="17"/>
  <c r="I654" i="17"/>
  <c r="K654" i="17" s="1"/>
  <c r="J653" i="17"/>
  <c r="I653" i="17"/>
  <c r="K653" i="17" s="1"/>
  <c r="U651" i="17"/>
  <c r="T651" i="17"/>
  <c r="P651" i="17"/>
  <c r="O651" i="17"/>
  <c r="U650" i="17"/>
  <c r="T650" i="17"/>
  <c r="P650" i="17"/>
  <c r="O650" i="17"/>
  <c r="U649" i="17"/>
  <c r="S649" i="17"/>
  <c r="R649" i="17"/>
  <c r="Q649" i="17"/>
  <c r="T649" i="17" s="1"/>
  <c r="O649" i="17"/>
  <c r="N649" i="17"/>
  <c r="M649" i="17"/>
  <c r="P649" i="17" s="1"/>
  <c r="L649" i="17"/>
  <c r="S648" i="17"/>
  <c r="S646" i="17" s="1"/>
  <c r="R648" i="17"/>
  <c r="R646" i="17" s="1"/>
  <c r="Q648" i="17"/>
  <c r="P648" i="17"/>
  <c r="O648" i="17"/>
  <c r="U647" i="17"/>
  <c r="T647" i="17"/>
  <c r="P647" i="17"/>
  <c r="O647" i="17"/>
  <c r="P646" i="17"/>
  <c r="N646" i="17"/>
  <c r="M646" i="17"/>
  <c r="L646" i="17"/>
  <c r="O646" i="17" s="1"/>
  <c r="P645" i="17"/>
  <c r="N645" i="17"/>
  <c r="M645" i="17"/>
  <c r="L645" i="17"/>
  <c r="T644" i="17"/>
  <c r="S644" i="17"/>
  <c r="R644" i="17"/>
  <c r="U644" i="17" s="1"/>
  <c r="Q644" i="17"/>
  <c r="P644" i="17"/>
  <c r="N644" i="17"/>
  <c r="M644" i="17"/>
  <c r="L644" i="17"/>
  <c r="O644" i="17" s="1"/>
  <c r="N643" i="17"/>
  <c r="M643" i="17"/>
  <c r="P643" i="17" s="1"/>
  <c r="J637" i="17"/>
  <c r="J636" i="17" s="1"/>
  <c r="I636" i="17"/>
  <c r="K636" i="17" s="1"/>
  <c r="J633" i="17"/>
  <c r="J627" i="17" s="1"/>
  <c r="J616" i="17" s="1"/>
  <c r="I629" i="17"/>
  <c r="K629" i="17" s="1"/>
  <c r="I628" i="17"/>
  <c r="K628" i="17" s="1"/>
  <c r="I627" i="17"/>
  <c r="I616" i="17" s="1"/>
  <c r="U625" i="17"/>
  <c r="T625" i="17"/>
  <c r="P625" i="17"/>
  <c r="O625" i="17"/>
  <c r="U624" i="17"/>
  <c r="T624" i="17"/>
  <c r="P624" i="17"/>
  <c r="O624" i="17"/>
  <c r="S623" i="17"/>
  <c r="R623" i="17"/>
  <c r="U623" i="17" s="1"/>
  <c r="Q623" i="17"/>
  <c r="T623" i="17" s="1"/>
  <c r="P623" i="17"/>
  <c r="N623" i="17"/>
  <c r="M623" i="17"/>
  <c r="L623" i="17"/>
  <c r="O623" i="17" s="1"/>
  <c r="S622" i="17"/>
  <c r="S620" i="17" s="1"/>
  <c r="R622" i="17"/>
  <c r="R620" i="17" s="1"/>
  <c r="Q622" i="17"/>
  <c r="Q620" i="17" s="1"/>
  <c r="P622" i="17"/>
  <c r="O622" i="17"/>
  <c r="U621" i="17"/>
  <c r="T621" i="17"/>
  <c r="P621" i="17"/>
  <c r="O621" i="17"/>
  <c r="O620" i="17"/>
  <c r="N620" i="17"/>
  <c r="M620" i="17"/>
  <c r="P620" i="17" s="1"/>
  <c r="L620" i="17"/>
  <c r="N619" i="17"/>
  <c r="M619" i="17"/>
  <c r="L619" i="17"/>
  <c r="L617" i="17" s="1"/>
  <c r="O617" i="17" s="1"/>
  <c r="S618" i="17"/>
  <c r="R618" i="17"/>
  <c r="U618" i="17" s="1"/>
  <c r="Q618" i="17"/>
  <c r="P618" i="17"/>
  <c r="O618" i="17"/>
  <c r="N618" i="17"/>
  <c r="M618" i="17"/>
  <c r="L618" i="17"/>
  <c r="N617" i="17"/>
  <c r="U608" i="17"/>
  <c r="T608" i="17"/>
  <c r="P608" i="17"/>
  <c r="O608" i="17"/>
  <c r="U607" i="17"/>
  <c r="T607" i="17"/>
  <c r="P607" i="17"/>
  <c r="O607" i="17"/>
  <c r="S606" i="17"/>
  <c r="R606" i="17"/>
  <c r="U606" i="17" s="1"/>
  <c r="Q606" i="17"/>
  <c r="T606" i="17" s="1"/>
  <c r="P606" i="17"/>
  <c r="N606" i="17"/>
  <c r="M606" i="17"/>
  <c r="L606" i="17"/>
  <c r="O606" i="17" s="1"/>
  <c r="U605" i="17"/>
  <c r="T605" i="17"/>
  <c r="P605" i="17"/>
  <c r="O605" i="17"/>
  <c r="U604" i="17"/>
  <c r="T604" i="17"/>
  <c r="P604" i="17"/>
  <c r="O604" i="17"/>
  <c r="S603" i="17"/>
  <c r="R603" i="17"/>
  <c r="U603" i="17" s="1"/>
  <c r="Q603" i="17"/>
  <c r="T603" i="17" s="1"/>
  <c r="N603" i="17"/>
  <c r="M603" i="17"/>
  <c r="P603" i="17" s="1"/>
  <c r="L603" i="17"/>
  <c r="O603" i="17" s="1"/>
  <c r="U602" i="17"/>
  <c r="T602" i="17"/>
  <c r="S602" i="17"/>
  <c r="R602" i="17"/>
  <c r="Q602" i="17"/>
  <c r="P602" i="17"/>
  <c r="O602" i="17"/>
  <c r="N602" i="17"/>
  <c r="M602" i="17"/>
  <c r="L602" i="17"/>
  <c r="T601" i="17"/>
  <c r="S601" i="17"/>
  <c r="S600" i="17" s="1"/>
  <c r="R601" i="17"/>
  <c r="U601" i="17" s="1"/>
  <c r="Q601" i="17"/>
  <c r="N601" i="17"/>
  <c r="N600" i="17" s="1"/>
  <c r="M601" i="17"/>
  <c r="P601" i="17" s="1"/>
  <c r="L601" i="17"/>
  <c r="O601" i="17" s="1"/>
  <c r="R600" i="17"/>
  <c r="U600" i="17" s="1"/>
  <c r="Q600" i="17"/>
  <c r="T600" i="17" s="1"/>
  <c r="L600" i="17"/>
  <c r="O600" i="17" s="1"/>
  <c r="U585" i="17"/>
  <c r="T585" i="17"/>
  <c r="P585" i="17"/>
  <c r="O585" i="17"/>
  <c r="U584" i="17"/>
  <c r="T584" i="17"/>
  <c r="P584" i="17"/>
  <c r="O584" i="17"/>
  <c r="S583" i="17"/>
  <c r="R583" i="17"/>
  <c r="U583" i="17" s="1"/>
  <c r="Q583" i="17"/>
  <c r="T583" i="17" s="1"/>
  <c r="N583" i="17"/>
  <c r="M583" i="17"/>
  <c r="P583" i="17" s="1"/>
  <c r="L583" i="17"/>
  <c r="O583" i="17" s="1"/>
  <c r="U582" i="17"/>
  <c r="T582" i="17"/>
  <c r="P582" i="17"/>
  <c r="O582" i="17"/>
  <c r="U581" i="17"/>
  <c r="T581" i="17"/>
  <c r="P581" i="17"/>
  <c r="O581" i="17"/>
  <c r="S580" i="17"/>
  <c r="R580" i="17"/>
  <c r="U580" i="17" s="1"/>
  <c r="Q580" i="17"/>
  <c r="T580" i="17" s="1"/>
  <c r="N580" i="17"/>
  <c r="M580" i="17"/>
  <c r="P580" i="17" s="1"/>
  <c r="L580" i="17"/>
  <c r="O580" i="17" s="1"/>
  <c r="U579" i="17"/>
  <c r="S579" i="17"/>
  <c r="R579" i="17"/>
  <c r="Q579" i="17"/>
  <c r="T579" i="17" s="1"/>
  <c r="P579" i="17"/>
  <c r="O579" i="17"/>
  <c r="N579" i="17"/>
  <c r="M579" i="17"/>
  <c r="L579" i="17"/>
  <c r="T578" i="17"/>
  <c r="S578" i="17"/>
  <c r="S577" i="17" s="1"/>
  <c r="R578" i="17"/>
  <c r="U578" i="17" s="1"/>
  <c r="Q578" i="17"/>
  <c r="N578" i="17"/>
  <c r="N577" i="17" s="1"/>
  <c r="M578" i="17"/>
  <c r="P578" i="17" s="1"/>
  <c r="L578" i="17"/>
  <c r="O578" i="17" s="1"/>
  <c r="R577" i="17"/>
  <c r="U577" i="17" s="1"/>
  <c r="Q577" i="17"/>
  <c r="T577" i="17" s="1"/>
  <c r="L577" i="17"/>
  <c r="O577" i="17" s="1"/>
  <c r="K576" i="17"/>
  <c r="J576" i="17"/>
  <c r="I576" i="17"/>
  <c r="U564" i="17"/>
  <c r="T564" i="17"/>
  <c r="P564" i="17"/>
  <c r="O564" i="17"/>
  <c r="U563" i="17"/>
  <c r="T563" i="17"/>
  <c r="P563" i="17"/>
  <c r="O563" i="17"/>
  <c r="U562" i="17"/>
  <c r="T562" i="17"/>
  <c r="S562" i="17"/>
  <c r="R562" i="17"/>
  <c r="Q562" i="17"/>
  <c r="O562" i="17"/>
  <c r="N562" i="17"/>
  <c r="M562" i="17"/>
  <c r="P562" i="17" s="1"/>
  <c r="L562" i="17"/>
  <c r="U561" i="17"/>
  <c r="T561" i="17"/>
  <c r="P561" i="17"/>
  <c r="O561" i="17"/>
  <c r="U560" i="17"/>
  <c r="T560" i="17"/>
  <c r="P560" i="17"/>
  <c r="O560" i="17"/>
  <c r="U559" i="17"/>
  <c r="T559" i="17"/>
  <c r="S559" i="17"/>
  <c r="R559" i="17"/>
  <c r="Q559" i="17"/>
  <c r="O559" i="17"/>
  <c r="N559" i="17"/>
  <c r="M559" i="17"/>
  <c r="P559" i="17" s="1"/>
  <c r="L559" i="17"/>
  <c r="S558" i="17"/>
  <c r="S556" i="17" s="1"/>
  <c r="R558" i="17"/>
  <c r="R556" i="17" s="1"/>
  <c r="Q558" i="17"/>
  <c r="T558" i="17" s="1"/>
  <c r="N558" i="17"/>
  <c r="M558" i="17"/>
  <c r="L558" i="17"/>
  <c r="L556" i="17" s="1"/>
  <c r="U557" i="17"/>
  <c r="S557" i="17"/>
  <c r="R557" i="17"/>
  <c r="Q557" i="17"/>
  <c r="P557" i="17"/>
  <c r="O557" i="17"/>
  <c r="N557" i="17"/>
  <c r="M557" i="17"/>
  <c r="L557" i="17"/>
  <c r="U556" i="17"/>
  <c r="O556" i="17"/>
  <c r="N556" i="17"/>
  <c r="J555" i="17"/>
  <c r="I555" i="17"/>
  <c r="K555" i="17" s="1"/>
  <c r="U543" i="17"/>
  <c r="T543" i="17"/>
  <c r="P543" i="17"/>
  <c r="O543" i="17"/>
  <c r="U542" i="17"/>
  <c r="T542" i="17"/>
  <c r="P542" i="17"/>
  <c r="O542" i="17"/>
  <c r="S541" i="17"/>
  <c r="R541" i="17"/>
  <c r="U541" i="17" s="1"/>
  <c r="Q541" i="17"/>
  <c r="T541" i="17" s="1"/>
  <c r="P541" i="17"/>
  <c r="N541" i="17"/>
  <c r="M541" i="17"/>
  <c r="L541" i="17"/>
  <c r="O541" i="17" s="1"/>
  <c r="U540" i="17"/>
  <c r="T540" i="17"/>
  <c r="P540" i="17"/>
  <c r="O540" i="17"/>
  <c r="U539" i="17"/>
  <c r="T539" i="17"/>
  <c r="P539" i="17"/>
  <c r="O539" i="17"/>
  <c r="S538" i="17"/>
  <c r="R538" i="17"/>
  <c r="U538" i="17" s="1"/>
  <c r="Q538" i="17"/>
  <c r="T538" i="17" s="1"/>
  <c r="P538" i="17"/>
  <c r="N538" i="17"/>
  <c r="M538" i="17"/>
  <c r="L538" i="17"/>
  <c r="O538" i="17" s="1"/>
  <c r="U537" i="17"/>
  <c r="T537" i="17"/>
  <c r="S537" i="17"/>
  <c r="R537" i="17"/>
  <c r="Q537" i="17"/>
  <c r="P537" i="17"/>
  <c r="O537" i="17"/>
  <c r="N537" i="17"/>
  <c r="M537" i="17"/>
  <c r="L537" i="17"/>
  <c r="T536" i="17"/>
  <c r="S536" i="17"/>
  <c r="S535" i="17" s="1"/>
  <c r="R536" i="17"/>
  <c r="U536" i="17" s="1"/>
  <c r="Q536" i="17"/>
  <c r="N536" i="17"/>
  <c r="N535" i="17" s="1"/>
  <c r="M536" i="17"/>
  <c r="P536" i="17" s="1"/>
  <c r="L536" i="17"/>
  <c r="O536" i="17" s="1"/>
  <c r="R535" i="17"/>
  <c r="U535" i="17" s="1"/>
  <c r="Q535" i="17"/>
  <c r="T535" i="17" s="1"/>
  <c r="L535" i="17"/>
  <c r="O535" i="17" s="1"/>
  <c r="K534" i="17"/>
  <c r="J534" i="17"/>
  <c r="I534" i="17"/>
  <c r="K525" i="17"/>
  <c r="K524" i="17"/>
  <c r="U522" i="17"/>
  <c r="T522" i="17"/>
  <c r="N522" i="17"/>
  <c r="N520" i="17" s="1"/>
  <c r="M522" i="17"/>
  <c r="P522" i="17" s="1"/>
  <c r="L522" i="17"/>
  <c r="U521" i="17"/>
  <c r="T521" i="17"/>
  <c r="P521" i="17"/>
  <c r="O521" i="17"/>
  <c r="T520" i="17"/>
  <c r="S520" i="17"/>
  <c r="R520" i="17"/>
  <c r="U520" i="17" s="1"/>
  <c r="Q520" i="17"/>
  <c r="U519" i="17"/>
  <c r="T519" i="17"/>
  <c r="N519" i="17"/>
  <c r="N517" i="17" s="1"/>
  <c r="M519" i="17"/>
  <c r="M517" i="17" s="1"/>
  <c r="P517" i="17" s="1"/>
  <c r="L519" i="17"/>
  <c r="L517" i="17" s="1"/>
  <c r="O517" i="17" s="1"/>
  <c r="U518" i="17"/>
  <c r="T518" i="17"/>
  <c r="P518" i="17"/>
  <c r="O518" i="17"/>
  <c r="S517" i="17"/>
  <c r="R517" i="17"/>
  <c r="U517" i="17" s="1"/>
  <c r="Q517" i="17"/>
  <c r="T517" i="17" s="1"/>
  <c r="U516" i="17"/>
  <c r="T516" i="17"/>
  <c r="S516" i="17"/>
  <c r="R516" i="17"/>
  <c r="Q516" i="17"/>
  <c r="T515" i="17"/>
  <c r="S515" i="17"/>
  <c r="S514" i="17" s="1"/>
  <c r="R515" i="17"/>
  <c r="U515" i="17" s="1"/>
  <c r="Q515" i="17"/>
  <c r="N515" i="17"/>
  <c r="M515" i="17"/>
  <c r="L515" i="17"/>
  <c r="O515" i="17" s="1"/>
  <c r="R514" i="17"/>
  <c r="U514" i="17" s="1"/>
  <c r="Q514" i="17"/>
  <c r="T514" i="17" s="1"/>
  <c r="K513" i="17"/>
  <c r="J513" i="17"/>
  <c r="I513" i="17"/>
  <c r="I510" i="17"/>
  <c r="K510" i="17" s="1"/>
  <c r="K509" i="17"/>
  <c r="I508" i="17"/>
  <c r="K508" i="17" s="1"/>
  <c r="I507" i="17"/>
  <c r="K507" i="17" s="1"/>
  <c r="I506" i="17"/>
  <c r="K506" i="17" s="1"/>
  <c r="I505" i="17"/>
  <c r="K505" i="17" s="1"/>
  <c r="I504" i="17"/>
  <c r="U502" i="17"/>
  <c r="T502" i="17"/>
  <c r="P502" i="17"/>
  <c r="O502" i="17"/>
  <c r="U501" i="17"/>
  <c r="T501" i="17"/>
  <c r="P501" i="17"/>
  <c r="O501" i="17"/>
  <c r="U500" i="17"/>
  <c r="S500" i="17"/>
  <c r="R500" i="17"/>
  <c r="Q500" i="17"/>
  <c r="T500" i="17" s="1"/>
  <c r="P500" i="17"/>
  <c r="O500" i="17"/>
  <c r="N500" i="17"/>
  <c r="M500" i="17"/>
  <c r="L500" i="17"/>
  <c r="S499" i="17"/>
  <c r="S496" i="17" s="1"/>
  <c r="S494" i="17" s="1"/>
  <c r="R499" i="17"/>
  <c r="U499" i="17" s="1"/>
  <c r="Q499" i="17"/>
  <c r="Q496" i="17" s="1"/>
  <c r="P499" i="17"/>
  <c r="O499" i="17"/>
  <c r="U498" i="17"/>
  <c r="T498" i="17"/>
  <c r="P498" i="17"/>
  <c r="O498" i="17"/>
  <c r="N497" i="17"/>
  <c r="M497" i="17"/>
  <c r="P497" i="17" s="1"/>
  <c r="L497" i="17"/>
  <c r="O497" i="17" s="1"/>
  <c r="P496" i="17"/>
  <c r="N496" i="17"/>
  <c r="M496" i="17"/>
  <c r="L496" i="17"/>
  <c r="U495" i="17"/>
  <c r="T495" i="17"/>
  <c r="S495" i="17"/>
  <c r="R495" i="17"/>
  <c r="Q495" i="17"/>
  <c r="P495" i="17"/>
  <c r="O495" i="17"/>
  <c r="N495" i="17"/>
  <c r="M495" i="17"/>
  <c r="L495" i="17"/>
  <c r="N494" i="17"/>
  <c r="M494" i="17"/>
  <c r="P494" i="17" s="1"/>
  <c r="K486" i="17"/>
  <c r="J486" i="17"/>
  <c r="I486" i="17"/>
  <c r="K485" i="17"/>
  <c r="J485" i="17"/>
  <c r="I485" i="17"/>
  <c r="J484" i="17"/>
  <c r="J483" i="17"/>
  <c r="K478" i="17"/>
  <c r="J478" i="17"/>
  <c r="K477" i="17"/>
  <c r="J477" i="17"/>
  <c r="K476" i="17"/>
  <c r="J476" i="17"/>
  <c r="J469" i="17"/>
  <c r="J468" i="17"/>
  <c r="J461" i="17"/>
  <c r="J460" i="17"/>
  <c r="J459" i="17"/>
  <c r="I459" i="17"/>
  <c r="K459" i="17" s="1"/>
  <c r="J458" i="17"/>
  <c r="I458" i="17"/>
  <c r="I457" i="17" s="1"/>
  <c r="K457" i="17" s="1"/>
  <c r="J457" i="17"/>
  <c r="J448" i="17"/>
  <c r="J447" i="17"/>
  <c r="J442" i="17"/>
  <c r="I442" i="17"/>
  <c r="K442" i="17" s="1"/>
  <c r="J441" i="17"/>
  <c r="I441" i="17"/>
  <c r="K441" i="17" s="1"/>
  <c r="J434" i="17"/>
  <c r="I434" i="17"/>
  <c r="K434" i="17" s="1"/>
  <c r="J433" i="17"/>
  <c r="I433" i="17"/>
  <c r="K433" i="17" s="1"/>
  <c r="J426" i="17"/>
  <c r="I426" i="17"/>
  <c r="K426" i="17" s="1"/>
  <c r="J425" i="17"/>
  <c r="I425" i="17"/>
  <c r="K425" i="17" s="1"/>
  <c r="J424" i="17"/>
  <c r="J413" i="17" s="1"/>
  <c r="U422" i="17"/>
  <c r="T422" i="17"/>
  <c r="P422" i="17"/>
  <c r="O422" i="17"/>
  <c r="U421" i="17"/>
  <c r="T421" i="17"/>
  <c r="P421" i="17"/>
  <c r="O421" i="17"/>
  <c r="S420" i="17"/>
  <c r="R420" i="17"/>
  <c r="U420" i="17" s="1"/>
  <c r="Q420" i="17"/>
  <c r="T420" i="17" s="1"/>
  <c r="N420" i="17"/>
  <c r="M420" i="17"/>
  <c r="P420" i="17" s="1"/>
  <c r="L420" i="17"/>
  <c r="O420" i="17" s="1"/>
  <c r="S419" i="17"/>
  <c r="S417" i="17" s="1"/>
  <c r="R419" i="17"/>
  <c r="R416" i="17" s="1"/>
  <c r="U416" i="17" s="1"/>
  <c r="Q419" i="17"/>
  <c r="P419" i="17"/>
  <c r="O419" i="17"/>
  <c r="U418" i="17"/>
  <c r="T418" i="17"/>
  <c r="P418" i="17"/>
  <c r="O418" i="17"/>
  <c r="P417" i="17"/>
  <c r="O417" i="17"/>
  <c r="N417" i="17"/>
  <c r="M417" i="17"/>
  <c r="L417" i="17"/>
  <c r="N416" i="17"/>
  <c r="N414" i="17" s="1"/>
  <c r="M416" i="17"/>
  <c r="L416" i="17"/>
  <c r="O416" i="17" s="1"/>
  <c r="S415" i="17"/>
  <c r="R415" i="17"/>
  <c r="Q415" i="17"/>
  <c r="P415" i="17"/>
  <c r="N415" i="17"/>
  <c r="M415" i="17"/>
  <c r="L415" i="17"/>
  <c r="U401" i="17"/>
  <c r="T401" i="17"/>
  <c r="P401" i="17"/>
  <c r="O401" i="17"/>
  <c r="U400" i="17"/>
  <c r="T400" i="17"/>
  <c r="P400" i="17"/>
  <c r="O400" i="17"/>
  <c r="S399" i="17"/>
  <c r="R399" i="17"/>
  <c r="U399" i="17" s="1"/>
  <c r="Q399" i="17"/>
  <c r="T399" i="17" s="1"/>
  <c r="N399" i="17"/>
  <c r="M399" i="17"/>
  <c r="P399" i="17" s="1"/>
  <c r="L399" i="17"/>
  <c r="O399" i="17" s="1"/>
  <c r="U398" i="17"/>
  <c r="T398" i="17"/>
  <c r="P398" i="17"/>
  <c r="O398" i="17"/>
  <c r="U397" i="17"/>
  <c r="T397" i="17"/>
  <c r="P397" i="17"/>
  <c r="O397" i="17"/>
  <c r="S396" i="17"/>
  <c r="R396" i="17"/>
  <c r="U396" i="17" s="1"/>
  <c r="Q396" i="17"/>
  <c r="T396" i="17" s="1"/>
  <c r="N396" i="17"/>
  <c r="M396" i="17"/>
  <c r="P396" i="17" s="1"/>
  <c r="L396" i="17"/>
  <c r="O396" i="17" s="1"/>
  <c r="U395" i="17"/>
  <c r="S395" i="17"/>
  <c r="R395" i="17"/>
  <c r="Q395" i="17"/>
  <c r="T395" i="17" s="1"/>
  <c r="P395" i="17"/>
  <c r="O395" i="17"/>
  <c r="N395" i="17"/>
  <c r="M395" i="17"/>
  <c r="L395" i="17"/>
  <c r="U394" i="17"/>
  <c r="T394" i="17"/>
  <c r="S394" i="17"/>
  <c r="S393" i="17" s="1"/>
  <c r="R394" i="17"/>
  <c r="Q394" i="17"/>
  <c r="O394" i="17"/>
  <c r="N394" i="17"/>
  <c r="N393" i="17" s="1"/>
  <c r="M394" i="17"/>
  <c r="P394" i="17" s="1"/>
  <c r="L394" i="17"/>
  <c r="R393" i="17"/>
  <c r="U393" i="17" s="1"/>
  <c r="Q393" i="17"/>
  <c r="T393" i="17" s="1"/>
  <c r="M393" i="17"/>
  <c r="P393" i="17" s="1"/>
  <c r="L393" i="17"/>
  <c r="O393" i="17" s="1"/>
  <c r="K392" i="17"/>
  <c r="J392" i="17"/>
  <c r="I392" i="17"/>
  <c r="J389" i="17"/>
  <c r="I389" i="17"/>
  <c r="K388" i="17"/>
  <c r="J388" i="17"/>
  <c r="J387" i="17"/>
  <c r="I387" i="17"/>
  <c r="K386" i="17"/>
  <c r="J386" i="17"/>
  <c r="U384" i="17"/>
  <c r="T384" i="17"/>
  <c r="P384" i="17"/>
  <c r="O384" i="17"/>
  <c r="U383" i="17"/>
  <c r="T383" i="17"/>
  <c r="P383" i="17"/>
  <c r="O383" i="17"/>
  <c r="T382" i="17"/>
  <c r="S382" i="17"/>
  <c r="R382" i="17"/>
  <c r="U382" i="17" s="1"/>
  <c r="Q382" i="17"/>
  <c r="N382" i="17"/>
  <c r="M382" i="17"/>
  <c r="P382" i="17" s="1"/>
  <c r="L382" i="17"/>
  <c r="O382" i="17" s="1"/>
  <c r="S381" i="17"/>
  <c r="R381" i="17"/>
  <c r="Q381" i="17"/>
  <c r="P381" i="17"/>
  <c r="O381" i="17"/>
  <c r="U380" i="17"/>
  <c r="T380" i="17"/>
  <c r="P380" i="17"/>
  <c r="O380" i="17"/>
  <c r="P379" i="17"/>
  <c r="O379" i="17"/>
  <c r="N379" i="17"/>
  <c r="M379" i="17"/>
  <c r="L379" i="17"/>
  <c r="O378" i="17"/>
  <c r="N378" i="17"/>
  <c r="N376" i="17" s="1"/>
  <c r="M378" i="17"/>
  <c r="P378" i="17" s="1"/>
  <c r="L378" i="17"/>
  <c r="S377" i="17"/>
  <c r="R377" i="17"/>
  <c r="Q377" i="17"/>
  <c r="T377" i="17" s="1"/>
  <c r="N377" i="17"/>
  <c r="M377" i="17"/>
  <c r="L377" i="17"/>
  <c r="D374" i="17"/>
  <c r="K373" i="17"/>
  <c r="J373" i="17"/>
  <c r="J372" i="17"/>
  <c r="J366" i="17" s="1"/>
  <c r="I372" i="17"/>
  <c r="I366" i="17" s="1"/>
  <c r="K371" i="17"/>
  <c r="J371" i="17"/>
  <c r="J370" i="17"/>
  <c r="I370" i="17"/>
  <c r="J369" i="17"/>
  <c r="I369" i="17"/>
  <c r="K368" i="17"/>
  <c r="J368" i="17"/>
  <c r="U365" i="17"/>
  <c r="T365" i="17"/>
  <c r="N365" i="17"/>
  <c r="N363" i="17" s="1"/>
  <c r="M365" i="17"/>
  <c r="M363" i="17" s="1"/>
  <c r="P363" i="17" s="1"/>
  <c r="L365" i="17"/>
  <c r="U364" i="17"/>
  <c r="T364" i="17"/>
  <c r="P364" i="17"/>
  <c r="O364" i="17"/>
  <c r="S363" i="17"/>
  <c r="R363" i="17"/>
  <c r="U363" i="17" s="1"/>
  <c r="Q363" i="17"/>
  <c r="T363" i="17" s="1"/>
  <c r="U362" i="17"/>
  <c r="T362" i="17"/>
  <c r="N362" i="17"/>
  <c r="M362" i="17"/>
  <c r="M360" i="17" s="1"/>
  <c r="L362" i="17"/>
  <c r="L360" i="17" s="1"/>
  <c r="U361" i="17"/>
  <c r="T361" i="17"/>
  <c r="P361" i="17"/>
  <c r="O361" i="17"/>
  <c r="T360" i="17"/>
  <c r="S360" i="17"/>
  <c r="R360" i="17"/>
  <c r="U360" i="17" s="1"/>
  <c r="Q360" i="17"/>
  <c r="T359" i="17"/>
  <c r="S359" i="17"/>
  <c r="R359" i="17"/>
  <c r="U359" i="17" s="1"/>
  <c r="Q359" i="17"/>
  <c r="Q357" i="17" s="1"/>
  <c r="T357" i="17" s="1"/>
  <c r="T358" i="17"/>
  <c r="S358" i="17"/>
  <c r="R358" i="17"/>
  <c r="R357" i="17" s="1"/>
  <c r="U357" i="17" s="1"/>
  <c r="Q358" i="17"/>
  <c r="P358" i="17"/>
  <c r="N358" i="17"/>
  <c r="M358" i="17"/>
  <c r="L358" i="17"/>
  <c r="S357" i="17"/>
  <c r="D355" i="17"/>
  <c r="J354" i="17"/>
  <c r="J353" i="17"/>
  <c r="D351" i="17"/>
  <c r="J350" i="17"/>
  <c r="J349" i="17"/>
  <c r="J348" i="17"/>
  <c r="J347" i="17"/>
  <c r="I347" i="17"/>
  <c r="J345" i="17"/>
  <c r="I345" i="17"/>
  <c r="U342" i="17"/>
  <c r="T342" i="17"/>
  <c r="N342" i="17"/>
  <c r="N340" i="17" s="1"/>
  <c r="M342" i="17"/>
  <c r="L342" i="17"/>
  <c r="U341" i="17"/>
  <c r="T341" i="17"/>
  <c r="P341" i="17"/>
  <c r="O341" i="17"/>
  <c r="T340" i="17"/>
  <c r="S340" i="17"/>
  <c r="R340" i="17"/>
  <c r="U340" i="17" s="1"/>
  <c r="Q340" i="17"/>
  <c r="U339" i="17"/>
  <c r="T339" i="17"/>
  <c r="N339" i="17"/>
  <c r="M339" i="17"/>
  <c r="M337" i="17" s="1"/>
  <c r="L339" i="17"/>
  <c r="L337" i="17" s="1"/>
  <c r="U338" i="17"/>
  <c r="T338" i="17"/>
  <c r="P338" i="17"/>
  <c r="O338" i="17"/>
  <c r="U337" i="17"/>
  <c r="S337" i="17"/>
  <c r="R337" i="17"/>
  <c r="Q337" i="17"/>
  <c r="T337" i="17" s="1"/>
  <c r="U336" i="17"/>
  <c r="S336" i="17"/>
  <c r="R336" i="17"/>
  <c r="Q336" i="17"/>
  <c r="T336" i="17" s="1"/>
  <c r="S335" i="17"/>
  <c r="S334" i="17" s="1"/>
  <c r="R335" i="17"/>
  <c r="R334" i="17" s="1"/>
  <c r="Q335" i="17"/>
  <c r="T335" i="17" s="1"/>
  <c r="O335" i="17"/>
  <c r="N335" i="17"/>
  <c r="M335" i="17"/>
  <c r="P335" i="17" s="1"/>
  <c r="L335" i="17"/>
  <c r="U334" i="17"/>
  <c r="Q334" i="17"/>
  <c r="T334" i="17" s="1"/>
  <c r="I331" i="17"/>
  <c r="K331" i="17" s="1"/>
  <c r="U329" i="17"/>
  <c r="T329" i="17"/>
  <c r="N329" i="17"/>
  <c r="N327" i="17" s="1"/>
  <c r="M329" i="17"/>
  <c r="L329" i="17"/>
  <c r="O329" i="17" s="1"/>
  <c r="U328" i="17"/>
  <c r="T328" i="17"/>
  <c r="P328" i="17"/>
  <c r="O328" i="17"/>
  <c r="S327" i="17"/>
  <c r="R327" i="17"/>
  <c r="U327" i="17" s="1"/>
  <c r="Q327" i="17"/>
  <c r="T327" i="17" s="1"/>
  <c r="U326" i="17"/>
  <c r="T326" i="17"/>
  <c r="N326" i="17"/>
  <c r="N324" i="17" s="1"/>
  <c r="M326" i="17"/>
  <c r="L326" i="17"/>
  <c r="O326" i="17" s="1"/>
  <c r="U325" i="17"/>
  <c r="T325" i="17"/>
  <c r="P325" i="17"/>
  <c r="O325" i="17"/>
  <c r="T324" i="17"/>
  <c r="S324" i="17"/>
  <c r="R324" i="17"/>
  <c r="U324" i="17" s="1"/>
  <c r="Q324" i="17"/>
  <c r="T323" i="17"/>
  <c r="S323" i="17"/>
  <c r="S321" i="17" s="1"/>
  <c r="R323" i="17"/>
  <c r="U323" i="17" s="1"/>
  <c r="Q323" i="17"/>
  <c r="T322" i="17"/>
  <c r="S322" i="17"/>
  <c r="R322" i="17"/>
  <c r="U322" i="17" s="1"/>
  <c r="Q322" i="17"/>
  <c r="Q321" i="17" s="1"/>
  <c r="P322" i="17"/>
  <c r="N322" i="17"/>
  <c r="M322" i="17"/>
  <c r="L322" i="17"/>
  <c r="T321" i="17"/>
  <c r="R321" i="17"/>
  <c r="U321" i="17" s="1"/>
  <c r="J320" i="17"/>
  <c r="I315" i="17"/>
  <c r="K315" i="17" s="1"/>
  <c r="U312" i="17"/>
  <c r="T312" i="17"/>
  <c r="N312" i="17"/>
  <c r="N310" i="17" s="1"/>
  <c r="M312" i="17"/>
  <c r="L312" i="17"/>
  <c r="L310" i="17" s="1"/>
  <c r="O310" i="17" s="1"/>
  <c r="U311" i="17"/>
  <c r="T311" i="17"/>
  <c r="P311" i="17"/>
  <c r="O311" i="17"/>
  <c r="T310" i="17"/>
  <c r="S310" i="17"/>
  <c r="R310" i="17"/>
  <c r="U310" i="17" s="1"/>
  <c r="Q310" i="17"/>
  <c r="S309" i="17"/>
  <c r="S307" i="17" s="1"/>
  <c r="R309" i="17"/>
  <c r="R306" i="17" s="1"/>
  <c r="Q309" i="17"/>
  <c r="N309" i="17"/>
  <c r="M309" i="17"/>
  <c r="M307" i="17" s="1"/>
  <c r="L309" i="17"/>
  <c r="U308" i="17"/>
  <c r="T308" i="17"/>
  <c r="P308" i="17"/>
  <c r="O308" i="17"/>
  <c r="T305" i="17"/>
  <c r="S305" i="17"/>
  <c r="R305" i="17"/>
  <c r="U305" i="17" s="1"/>
  <c r="Q305" i="17"/>
  <c r="N305" i="17"/>
  <c r="M305" i="17"/>
  <c r="L305" i="17"/>
  <c r="O305" i="17" s="1"/>
  <c r="J303" i="17"/>
  <c r="I297" i="17"/>
  <c r="K297" i="17" s="1"/>
  <c r="I296" i="17"/>
  <c r="K296" i="17" s="1"/>
  <c r="J294" i="17"/>
  <c r="J281" i="17" s="1"/>
  <c r="I294" i="17"/>
  <c r="I281" i="17" s="1"/>
  <c r="K281" i="17" s="1"/>
  <c r="I293" i="17"/>
  <c r="U291" i="17"/>
  <c r="T291" i="17"/>
  <c r="N291" i="17"/>
  <c r="N289" i="17" s="1"/>
  <c r="M291" i="17"/>
  <c r="M289" i="17" s="1"/>
  <c r="P289" i="17" s="1"/>
  <c r="L291" i="17"/>
  <c r="L289" i="17" s="1"/>
  <c r="O289" i="17" s="1"/>
  <c r="U290" i="17"/>
  <c r="T290" i="17"/>
  <c r="P290" i="17"/>
  <c r="O290" i="17"/>
  <c r="U289" i="17"/>
  <c r="T289" i="17"/>
  <c r="S289" i="17"/>
  <c r="R289" i="17"/>
  <c r="Q289" i="17"/>
  <c r="U288" i="17"/>
  <c r="T288" i="17"/>
  <c r="N288" i="17"/>
  <c r="N286" i="17" s="1"/>
  <c r="M288" i="17"/>
  <c r="M286" i="17" s="1"/>
  <c r="L288" i="17"/>
  <c r="U287" i="17"/>
  <c r="T287" i="17"/>
  <c r="P287" i="17"/>
  <c r="O287" i="17"/>
  <c r="S286" i="17"/>
  <c r="R286" i="17"/>
  <c r="U286" i="17" s="1"/>
  <c r="Q286" i="17"/>
  <c r="T286" i="17" s="1"/>
  <c r="T285" i="17"/>
  <c r="S285" i="17"/>
  <c r="R285" i="17"/>
  <c r="U285" i="17" s="1"/>
  <c r="Q285" i="17"/>
  <c r="T284" i="17"/>
  <c r="S284" i="17"/>
  <c r="S283" i="17" s="1"/>
  <c r="R284" i="17"/>
  <c r="Q284" i="17"/>
  <c r="N284" i="17"/>
  <c r="M284" i="17"/>
  <c r="L284" i="17"/>
  <c r="O284" i="17" s="1"/>
  <c r="T283" i="17"/>
  <c r="Q283" i="17"/>
  <c r="J282" i="17"/>
  <c r="I277" i="17"/>
  <c r="I266" i="17" s="1"/>
  <c r="K266" i="17" s="1"/>
  <c r="U275" i="17"/>
  <c r="T275" i="17"/>
  <c r="N275" i="17"/>
  <c r="N273" i="17" s="1"/>
  <c r="M275" i="17"/>
  <c r="L275" i="17"/>
  <c r="U274" i="17"/>
  <c r="T274" i="17"/>
  <c r="P274" i="17"/>
  <c r="O274" i="17"/>
  <c r="U273" i="17"/>
  <c r="S273" i="17"/>
  <c r="R273" i="17"/>
  <c r="Q273" i="17"/>
  <c r="T273" i="17" s="1"/>
  <c r="S272" i="17"/>
  <c r="S269" i="17" s="1"/>
  <c r="R272" i="17"/>
  <c r="R270" i="17" s="1"/>
  <c r="Q272" i="17"/>
  <c r="N272" i="17"/>
  <c r="N270" i="17" s="1"/>
  <c r="M272" i="17"/>
  <c r="L272" i="17"/>
  <c r="U271" i="17"/>
  <c r="T271" i="17"/>
  <c r="P271" i="17"/>
  <c r="O271" i="17"/>
  <c r="U268" i="17"/>
  <c r="S268" i="17"/>
  <c r="R268" i="17"/>
  <c r="Q268" i="17"/>
  <c r="N268" i="17"/>
  <c r="M268" i="17"/>
  <c r="L268" i="17"/>
  <c r="J266" i="17"/>
  <c r="K264" i="17"/>
  <c r="K263" i="17"/>
  <c r="I261" i="17"/>
  <c r="L259" i="17"/>
  <c r="L258" i="17"/>
  <c r="L257" i="17"/>
  <c r="L256" i="17"/>
  <c r="P255" i="17"/>
  <c r="N255" i="17"/>
  <c r="J254" i="17"/>
  <c r="K253" i="17"/>
  <c r="K252" i="17"/>
  <c r="I250" i="17"/>
  <c r="I243" i="17" s="1"/>
  <c r="K243" i="17" s="1"/>
  <c r="L248" i="17"/>
  <c r="L247" i="17"/>
  <c r="L246" i="17"/>
  <c r="L245" i="17"/>
  <c r="P244" i="17"/>
  <c r="N244" i="17"/>
  <c r="J243" i="17"/>
  <c r="J232" i="17" s="1"/>
  <c r="K242" i="17"/>
  <c r="J242" i="17"/>
  <c r="I242" i="17"/>
  <c r="K241" i="17"/>
  <c r="J241" i="17"/>
  <c r="I241" i="17"/>
  <c r="J239" i="17"/>
  <c r="N237" i="17"/>
  <c r="N236" i="17"/>
  <c r="N235" i="17"/>
  <c r="N234" i="17"/>
  <c r="N233" i="17"/>
  <c r="I231" i="17"/>
  <c r="K231" i="17" s="1"/>
  <c r="I230" i="17"/>
  <c r="I229" i="17"/>
  <c r="K229" i="17" s="1"/>
  <c r="L226" i="17"/>
  <c r="L225" i="17"/>
  <c r="L224" i="17"/>
  <c r="P223" i="17"/>
  <c r="N223" i="17"/>
  <c r="J222" i="17"/>
  <c r="I221" i="17"/>
  <c r="K221" i="17" s="1"/>
  <c r="I220" i="17"/>
  <c r="K220" i="17" s="1"/>
  <c r="L218" i="17"/>
  <c r="L217" i="17"/>
  <c r="L216" i="17"/>
  <c r="P215" i="17"/>
  <c r="N215" i="17"/>
  <c r="J214" i="17"/>
  <c r="I213" i="17"/>
  <c r="K213" i="17" s="1"/>
  <c r="I212" i="17"/>
  <c r="K212" i="17" s="1"/>
  <c r="I210" i="17"/>
  <c r="L208" i="17"/>
  <c r="L207" i="17"/>
  <c r="L206" i="17"/>
  <c r="L205" i="17"/>
  <c r="P204" i="17"/>
  <c r="N204" i="17"/>
  <c r="J203" i="17"/>
  <c r="J200" i="17"/>
  <c r="I199" i="17"/>
  <c r="K199" i="17" s="1"/>
  <c r="P197" i="17"/>
  <c r="L197" i="17"/>
  <c r="O197" i="17" s="1"/>
  <c r="J196" i="17"/>
  <c r="U195" i="17"/>
  <c r="T195" i="17"/>
  <c r="N195" i="17"/>
  <c r="N193" i="17" s="1"/>
  <c r="M195" i="17"/>
  <c r="P195" i="17" s="1"/>
  <c r="L195" i="17"/>
  <c r="L193" i="17" s="1"/>
  <c r="O193" i="17" s="1"/>
  <c r="U194" i="17"/>
  <c r="T194" i="17"/>
  <c r="P194" i="17"/>
  <c r="O194" i="17"/>
  <c r="U193" i="17"/>
  <c r="S193" i="17"/>
  <c r="R193" i="17"/>
  <c r="Q193" i="17"/>
  <c r="T193" i="17" s="1"/>
  <c r="S192" i="17"/>
  <c r="S189" i="17" s="1"/>
  <c r="S187" i="17" s="1"/>
  <c r="R192" i="17"/>
  <c r="R190" i="17" s="1"/>
  <c r="Q192" i="17"/>
  <c r="N192" i="17"/>
  <c r="N190" i="17" s="1"/>
  <c r="M192" i="17"/>
  <c r="L192" i="17"/>
  <c r="L190" i="17" s="1"/>
  <c r="U191" i="17"/>
  <c r="T191" i="17"/>
  <c r="P191" i="17"/>
  <c r="O191" i="17"/>
  <c r="U188" i="17"/>
  <c r="S188" i="17"/>
  <c r="R188" i="17"/>
  <c r="Q188" i="17"/>
  <c r="N188" i="17"/>
  <c r="M188" i="17"/>
  <c r="L188" i="17"/>
  <c r="J186" i="17"/>
  <c r="K185" i="17"/>
  <c r="I184" i="17"/>
  <c r="K184" i="17" s="1"/>
  <c r="U182" i="17"/>
  <c r="T182" i="17"/>
  <c r="N182" i="17"/>
  <c r="N180" i="17" s="1"/>
  <c r="M182" i="17"/>
  <c r="P182" i="17" s="1"/>
  <c r="L182" i="17"/>
  <c r="O182" i="17" s="1"/>
  <c r="U181" i="17"/>
  <c r="T181" i="17"/>
  <c r="P181" i="17"/>
  <c r="O181" i="17"/>
  <c r="T180" i="17"/>
  <c r="S180" i="17"/>
  <c r="R180" i="17"/>
  <c r="U180" i="17" s="1"/>
  <c r="Q180" i="17"/>
  <c r="S179" i="17"/>
  <c r="S177" i="17" s="1"/>
  <c r="R179" i="17"/>
  <c r="U179" i="17" s="1"/>
  <c r="Q179" i="17"/>
  <c r="T179" i="17" s="1"/>
  <c r="N179" i="17"/>
  <c r="N177" i="17" s="1"/>
  <c r="M179" i="17"/>
  <c r="L179" i="17"/>
  <c r="L177" i="17" s="1"/>
  <c r="U178" i="17"/>
  <c r="T178" i="17"/>
  <c r="P178" i="17"/>
  <c r="O178" i="17"/>
  <c r="U175" i="17"/>
  <c r="T175" i="17"/>
  <c r="S175" i="17"/>
  <c r="R175" i="17"/>
  <c r="Q175" i="17"/>
  <c r="P175" i="17"/>
  <c r="O175" i="17"/>
  <c r="N175" i="17"/>
  <c r="M175" i="17"/>
  <c r="L175" i="17"/>
  <c r="J173" i="17"/>
  <c r="I170" i="17"/>
  <c r="I169" i="17"/>
  <c r="K169" i="17" s="1"/>
  <c r="I168" i="17"/>
  <c r="K168" i="17" s="1"/>
  <c r="U166" i="17"/>
  <c r="T166" i="17"/>
  <c r="N166" i="17"/>
  <c r="N164" i="17" s="1"/>
  <c r="M166" i="17"/>
  <c r="P166" i="17" s="1"/>
  <c r="L166" i="17"/>
  <c r="L164" i="17" s="1"/>
  <c r="O164" i="17" s="1"/>
  <c r="U165" i="17"/>
  <c r="T165" i="17"/>
  <c r="P165" i="17"/>
  <c r="O165" i="17"/>
  <c r="S164" i="17"/>
  <c r="R164" i="17"/>
  <c r="U164" i="17" s="1"/>
  <c r="Q164" i="17"/>
  <c r="T164" i="17" s="1"/>
  <c r="S163" i="17"/>
  <c r="S160" i="17" s="1"/>
  <c r="R163" i="17"/>
  <c r="R161" i="17" s="1"/>
  <c r="U161" i="17" s="1"/>
  <c r="Q160" i="17"/>
  <c r="N163" i="17"/>
  <c r="M163" i="17"/>
  <c r="L163" i="17"/>
  <c r="U162" i="17"/>
  <c r="T162" i="17"/>
  <c r="P162" i="17"/>
  <c r="O162" i="17"/>
  <c r="S159" i="17"/>
  <c r="R159" i="17"/>
  <c r="Q159" i="17"/>
  <c r="T159" i="17" s="1"/>
  <c r="N159" i="17"/>
  <c r="M159" i="17"/>
  <c r="P159" i="17" s="1"/>
  <c r="L159" i="17"/>
  <c r="J157" i="17"/>
  <c r="I155" i="17"/>
  <c r="K155" i="17" s="1"/>
  <c r="I154" i="17"/>
  <c r="K154" i="17" s="1"/>
  <c r="I153" i="17"/>
  <c r="K153" i="17" s="1"/>
  <c r="I152" i="17"/>
  <c r="K152" i="17" s="1"/>
  <c r="I151" i="17"/>
  <c r="K151" i="17" s="1"/>
  <c r="U148" i="17"/>
  <c r="T148" i="17"/>
  <c r="N148" i="17"/>
  <c r="N146" i="17" s="1"/>
  <c r="M148" i="17"/>
  <c r="M146" i="17" s="1"/>
  <c r="P146" i="17" s="1"/>
  <c r="L148" i="17"/>
  <c r="L146" i="17" s="1"/>
  <c r="O146" i="17" s="1"/>
  <c r="U147" i="17"/>
  <c r="T147" i="17"/>
  <c r="P147" i="17"/>
  <c r="O147" i="17"/>
  <c r="S146" i="17"/>
  <c r="R146" i="17"/>
  <c r="U146" i="17" s="1"/>
  <c r="Q146" i="17"/>
  <c r="T146" i="17" s="1"/>
  <c r="S145" i="17"/>
  <c r="R145" i="17"/>
  <c r="R143" i="17" s="1"/>
  <c r="U143" i="17" s="1"/>
  <c r="Q145" i="17"/>
  <c r="T145" i="17" s="1"/>
  <c r="N145" i="17"/>
  <c r="N143" i="17" s="1"/>
  <c r="M145" i="17"/>
  <c r="M143" i="17" s="1"/>
  <c r="L145" i="17"/>
  <c r="U144" i="17"/>
  <c r="T144" i="17"/>
  <c r="P144" i="17"/>
  <c r="O144" i="17"/>
  <c r="U141" i="17"/>
  <c r="S141" i="17"/>
  <c r="R141" i="17"/>
  <c r="Q141" i="17"/>
  <c r="N141" i="17"/>
  <c r="M141" i="17"/>
  <c r="L141" i="17"/>
  <c r="O141" i="17" s="1"/>
  <c r="J139" i="17"/>
  <c r="J138" i="17"/>
  <c r="J137" i="17"/>
  <c r="I131" i="17"/>
  <c r="K131" i="17" s="1"/>
  <c r="I130" i="17"/>
  <c r="K130" i="17" s="1"/>
  <c r="I129" i="17"/>
  <c r="K129" i="17" s="1"/>
  <c r="I128" i="17"/>
  <c r="K128" i="17" s="1"/>
  <c r="U126" i="17"/>
  <c r="T126" i="17"/>
  <c r="N126" i="17"/>
  <c r="N124" i="17" s="1"/>
  <c r="M126" i="17"/>
  <c r="P126" i="17" s="1"/>
  <c r="L126" i="17"/>
  <c r="L124" i="17" s="1"/>
  <c r="O124" i="17" s="1"/>
  <c r="U125" i="17"/>
  <c r="T125" i="17"/>
  <c r="P125" i="17"/>
  <c r="O125" i="17"/>
  <c r="U124" i="17"/>
  <c r="T124" i="17"/>
  <c r="S124" i="17"/>
  <c r="R124" i="17"/>
  <c r="Q124" i="17"/>
  <c r="S123" i="17"/>
  <c r="S120" i="17" s="1"/>
  <c r="R123" i="17"/>
  <c r="Q123" i="17"/>
  <c r="Q121" i="17" s="1"/>
  <c r="N123" i="17"/>
  <c r="N121" i="17" s="1"/>
  <c r="M123" i="17"/>
  <c r="P123" i="17" s="1"/>
  <c r="L123" i="17"/>
  <c r="U122" i="17"/>
  <c r="T122" i="17"/>
  <c r="P122" i="17"/>
  <c r="O122" i="17"/>
  <c r="S119" i="17"/>
  <c r="R119" i="17"/>
  <c r="Q119" i="17"/>
  <c r="T119" i="17" s="1"/>
  <c r="N119" i="17"/>
  <c r="M119" i="17"/>
  <c r="P119" i="17" s="1"/>
  <c r="L119" i="17"/>
  <c r="J117" i="17"/>
  <c r="I115" i="17"/>
  <c r="K115" i="17" s="1"/>
  <c r="I110" i="17"/>
  <c r="I109" i="17"/>
  <c r="U103" i="17"/>
  <c r="T103" i="17"/>
  <c r="N103" i="17"/>
  <c r="N101" i="17" s="1"/>
  <c r="M103" i="17"/>
  <c r="P103" i="17" s="1"/>
  <c r="L103" i="17"/>
  <c r="U102" i="17"/>
  <c r="T102" i="17"/>
  <c r="P102" i="17"/>
  <c r="O102" i="17"/>
  <c r="S101" i="17"/>
  <c r="R101" i="17"/>
  <c r="U101" i="17" s="1"/>
  <c r="Q101" i="17"/>
  <c r="T101" i="17" s="1"/>
  <c r="S100" i="17"/>
  <c r="S98" i="17" s="1"/>
  <c r="R100" i="17"/>
  <c r="R97" i="17" s="1"/>
  <c r="U97" i="17" s="1"/>
  <c r="N100" i="17"/>
  <c r="N98" i="17" s="1"/>
  <c r="M100" i="17"/>
  <c r="P100" i="17" s="1"/>
  <c r="L100" i="17"/>
  <c r="L98" i="17" s="1"/>
  <c r="O98" i="17" s="1"/>
  <c r="U99" i="17"/>
  <c r="T99" i="17"/>
  <c r="P99" i="17"/>
  <c r="O99" i="17"/>
  <c r="S96" i="17"/>
  <c r="R96" i="17"/>
  <c r="U96" i="17" s="1"/>
  <c r="Q96" i="17"/>
  <c r="T96" i="17" s="1"/>
  <c r="N96" i="17"/>
  <c r="M96" i="17"/>
  <c r="P96" i="17" s="1"/>
  <c r="L96" i="17"/>
  <c r="O96" i="17" s="1"/>
  <c r="J94" i="17"/>
  <c r="J93" i="17"/>
  <c r="I91" i="17"/>
  <c r="K91" i="17" s="1"/>
  <c r="I90" i="17"/>
  <c r="K90" i="17" s="1"/>
  <c r="I89" i="17"/>
  <c r="K89" i="17" s="1"/>
  <c r="I88" i="17"/>
  <c r="K88" i="17" s="1"/>
  <c r="I87" i="17"/>
  <c r="K87" i="17" s="1"/>
  <c r="I86" i="17"/>
  <c r="K86" i="17" s="1"/>
  <c r="I85" i="17"/>
  <c r="J84" i="17"/>
  <c r="J72" i="17" s="1"/>
  <c r="J83" i="17"/>
  <c r="J71" i="17" s="1"/>
  <c r="U81" i="17"/>
  <c r="T81" i="17"/>
  <c r="N81" i="17"/>
  <c r="N79" i="17" s="1"/>
  <c r="M81" i="17"/>
  <c r="P81" i="17" s="1"/>
  <c r="L81" i="17"/>
  <c r="O81" i="17" s="1"/>
  <c r="U80" i="17"/>
  <c r="T80" i="17"/>
  <c r="P80" i="17"/>
  <c r="O80" i="17"/>
  <c r="S79" i="17"/>
  <c r="R79" i="17"/>
  <c r="U79" i="17" s="1"/>
  <c r="Q79" i="17"/>
  <c r="T79" i="17" s="1"/>
  <c r="S78" i="17"/>
  <c r="S75" i="17" s="1"/>
  <c r="R78" i="17"/>
  <c r="U78" i="17" s="1"/>
  <c r="Q76" i="17"/>
  <c r="T76" i="17" s="1"/>
  <c r="N78" i="17"/>
  <c r="M78" i="17"/>
  <c r="P78" i="17" s="1"/>
  <c r="L78" i="17"/>
  <c r="O78" i="17" s="1"/>
  <c r="U77" i="17"/>
  <c r="T77" i="17"/>
  <c r="P77" i="17"/>
  <c r="O77" i="17"/>
  <c r="U74" i="17"/>
  <c r="S74" i="17"/>
  <c r="R74" i="17"/>
  <c r="Q74" i="17"/>
  <c r="N74" i="17"/>
  <c r="M74" i="17"/>
  <c r="P74" i="17" s="1"/>
  <c r="L74" i="17"/>
  <c r="O74" i="17" s="1"/>
  <c r="U68" i="17"/>
  <c r="T68" i="17"/>
  <c r="N68" i="17"/>
  <c r="N66" i="17" s="1"/>
  <c r="M68" i="17"/>
  <c r="P68" i="17" s="1"/>
  <c r="L68" i="17"/>
  <c r="O68" i="17" s="1"/>
  <c r="U67" i="17"/>
  <c r="T67" i="17"/>
  <c r="P67" i="17"/>
  <c r="O67" i="17"/>
  <c r="U66" i="17"/>
  <c r="S66" i="17"/>
  <c r="R66" i="17"/>
  <c r="Q66" i="17"/>
  <c r="T66" i="17" s="1"/>
  <c r="U65" i="17"/>
  <c r="T65" i="17"/>
  <c r="N65" i="17"/>
  <c r="M65" i="17"/>
  <c r="L65" i="17"/>
  <c r="U64" i="17"/>
  <c r="T64" i="17"/>
  <c r="P64" i="17"/>
  <c r="O64" i="17"/>
  <c r="U63" i="17"/>
  <c r="T63" i="17"/>
  <c r="S63" i="17"/>
  <c r="R63" i="17"/>
  <c r="Q63" i="17"/>
  <c r="S62" i="17"/>
  <c r="R62" i="17"/>
  <c r="U62" i="17" s="1"/>
  <c r="Q62" i="17"/>
  <c r="T62" i="17" s="1"/>
  <c r="U61" i="17"/>
  <c r="T61" i="17"/>
  <c r="S61" i="17"/>
  <c r="R61" i="17"/>
  <c r="Q61" i="17"/>
  <c r="P61" i="17"/>
  <c r="O61" i="17"/>
  <c r="N61" i="17"/>
  <c r="M61" i="17"/>
  <c r="L61" i="17"/>
  <c r="S60" i="17"/>
  <c r="R60" i="17"/>
  <c r="U60" i="17" s="1"/>
  <c r="U53" i="17"/>
  <c r="T53" i="17"/>
  <c r="N53" i="17"/>
  <c r="M53" i="17"/>
  <c r="L53" i="17"/>
  <c r="U52" i="17"/>
  <c r="T52" i="17"/>
  <c r="P52" i="17"/>
  <c r="O52" i="17"/>
  <c r="U51" i="17"/>
  <c r="S51" i="17"/>
  <c r="R51" i="17"/>
  <c r="Q51" i="17"/>
  <c r="T51" i="17" s="1"/>
  <c r="U50" i="17"/>
  <c r="T50" i="17"/>
  <c r="N50" i="17"/>
  <c r="N48" i="17" s="1"/>
  <c r="M50" i="17"/>
  <c r="L50" i="17"/>
  <c r="U49" i="17"/>
  <c r="T49" i="17"/>
  <c r="P49" i="17"/>
  <c r="O49" i="17"/>
  <c r="U48" i="17"/>
  <c r="T48" i="17"/>
  <c r="S48" i="17"/>
  <c r="R48" i="17"/>
  <c r="Q48" i="17"/>
  <c r="S47" i="17"/>
  <c r="R47" i="17"/>
  <c r="U47" i="17" s="1"/>
  <c r="Q47" i="17"/>
  <c r="T47" i="17" s="1"/>
  <c r="U46" i="17"/>
  <c r="T46" i="17"/>
  <c r="S46" i="17"/>
  <c r="R46" i="17"/>
  <c r="Q46" i="17"/>
  <c r="P46" i="17"/>
  <c r="O46" i="17"/>
  <c r="N46" i="17"/>
  <c r="M46" i="17"/>
  <c r="L46" i="17"/>
  <c r="S45" i="17"/>
  <c r="S27" i="17"/>
  <c r="R27" i="17"/>
  <c r="U27" i="17" s="1"/>
  <c r="Q27" i="17"/>
  <c r="T27" i="17" s="1"/>
  <c r="S26" i="17"/>
  <c r="S25" i="17" s="1"/>
  <c r="R26" i="17"/>
  <c r="U26" i="17" s="1"/>
  <c r="Q26" i="17"/>
  <c r="T26" i="17" s="1"/>
  <c r="N26" i="17"/>
  <c r="M26" i="17"/>
  <c r="P26" i="17" s="1"/>
  <c r="L26" i="17"/>
  <c r="O26" i="17" s="1"/>
  <c r="S23" i="17"/>
  <c r="R23" i="17"/>
  <c r="R20" i="17" s="1"/>
  <c r="U20" i="17" s="1"/>
  <c r="Q23" i="17"/>
  <c r="T23" i="17" s="1"/>
  <c r="N23" i="17"/>
  <c r="N20" i="17" s="1"/>
  <c r="M23" i="17"/>
  <c r="P23" i="17" s="1"/>
  <c r="L23" i="17"/>
  <c r="O23" i="17" s="1"/>
  <c r="A788" i="16"/>
  <c r="J785" i="16"/>
  <c r="I785" i="16"/>
  <c r="J784" i="16"/>
  <c r="I784" i="16"/>
  <c r="J783" i="16"/>
  <c r="I783" i="16"/>
  <c r="J782" i="16"/>
  <c r="I782" i="16"/>
  <c r="J781" i="16"/>
  <c r="I781" i="16"/>
  <c r="J780" i="16"/>
  <c r="I780" i="16"/>
  <c r="J779" i="16"/>
  <c r="I779" i="16"/>
  <c r="J778" i="16"/>
  <c r="I778" i="16"/>
  <c r="H777" i="16"/>
  <c r="I776" i="16"/>
  <c r="I775" i="16"/>
  <c r="I774" i="16"/>
  <c r="I772" i="16"/>
  <c r="I758" i="16" s="1"/>
  <c r="K758" i="16" s="1"/>
  <c r="I770" i="16"/>
  <c r="K770" i="16" s="1"/>
  <c r="U768" i="16"/>
  <c r="T768" i="16"/>
  <c r="P768" i="16"/>
  <c r="O768" i="16"/>
  <c r="U767" i="16"/>
  <c r="T767" i="16"/>
  <c r="P767" i="16"/>
  <c r="O767" i="16"/>
  <c r="U766" i="16"/>
  <c r="S766" i="16"/>
  <c r="R766" i="16"/>
  <c r="Q766" i="16"/>
  <c r="T766" i="16" s="1"/>
  <c r="P766" i="16"/>
  <c r="O766" i="16"/>
  <c r="N766" i="16"/>
  <c r="M766" i="16"/>
  <c r="L766" i="16"/>
  <c r="S765" i="16"/>
  <c r="S762" i="16" s="1"/>
  <c r="S760" i="16" s="1"/>
  <c r="R765" i="16"/>
  <c r="R762" i="16" s="1"/>
  <c r="R760" i="16" s="1"/>
  <c r="Q765" i="16"/>
  <c r="Q762" i="16" s="1"/>
  <c r="P765" i="16"/>
  <c r="O765" i="16"/>
  <c r="U764" i="16"/>
  <c r="T764" i="16"/>
  <c r="P764" i="16"/>
  <c r="O764" i="16"/>
  <c r="N763" i="16"/>
  <c r="M763" i="16"/>
  <c r="P763" i="16" s="1"/>
  <c r="L763" i="16"/>
  <c r="O763" i="16" s="1"/>
  <c r="P762" i="16"/>
  <c r="O762" i="16"/>
  <c r="N762" i="16"/>
  <c r="M762" i="16"/>
  <c r="L762" i="16"/>
  <c r="U761" i="16"/>
  <c r="T761" i="16"/>
  <c r="S761" i="16"/>
  <c r="R761" i="16"/>
  <c r="Q761" i="16"/>
  <c r="O761" i="16"/>
  <c r="N761" i="16"/>
  <c r="N760" i="16" s="1"/>
  <c r="M761" i="16"/>
  <c r="P761" i="16" s="1"/>
  <c r="L761" i="16"/>
  <c r="M760" i="16"/>
  <c r="P760" i="16" s="1"/>
  <c r="L760" i="16"/>
  <c r="O760" i="16" s="1"/>
  <c r="J759" i="16"/>
  <c r="J758" i="16"/>
  <c r="I756" i="16"/>
  <c r="K756" i="16" s="1"/>
  <c r="I753" i="16"/>
  <c r="K753" i="16" s="1"/>
  <c r="I750" i="16"/>
  <c r="K750" i="16" s="1"/>
  <c r="I747" i="16"/>
  <c r="K747" i="16" s="1"/>
  <c r="I745" i="16"/>
  <c r="K745" i="16" s="1"/>
  <c r="I743" i="16"/>
  <c r="K743" i="16" s="1"/>
  <c r="I741" i="16"/>
  <c r="K741" i="16" s="1"/>
  <c r="U737" i="16"/>
  <c r="T737" i="16"/>
  <c r="P737" i="16"/>
  <c r="O737" i="16"/>
  <c r="U736" i="16"/>
  <c r="T736" i="16"/>
  <c r="P736" i="16"/>
  <c r="O736" i="16"/>
  <c r="U735" i="16"/>
  <c r="T735" i="16"/>
  <c r="S735" i="16"/>
  <c r="R735" i="16"/>
  <c r="Q735" i="16"/>
  <c r="O735" i="16"/>
  <c r="N735" i="16"/>
  <c r="M735" i="16"/>
  <c r="P735" i="16" s="1"/>
  <c r="L735" i="16"/>
  <c r="S734" i="16"/>
  <c r="R734" i="16"/>
  <c r="Q734" i="16"/>
  <c r="Q732" i="16" s="1"/>
  <c r="P734" i="16"/>
  <c r="O734" i="16"/>
  <c r="U733" i="16"/>
  <c r="T733" i="16"/>
  <c r="P733" i="16"/>
  <c r="O733" i="16"/>
  <c r="P732" i="16"/>
  <c r="N732" i="16"/>
  <c r="M732" i="16"/>
  <c r="L732" i="16"/>
  <c r="O732" i="16" s="1"/>
  <c r="P731" i="16"/>
  <c r="O731" i="16"/>
  <c r="N731" i="16"/>
  <c r="M731" i="16"/>
  <c r="L731" i="16"/>
  <c r="T730" i="16"/>
  <c r="S730" i="16"/>
  <c r="R730" i="16"/>
  <c r="U730" i="16" s="1"/>
  <c r="Q730" i="16"/>
  <c r="N730" i="16"/>
  <c r="N729" i="16" s="1"/>
  <c r="M730" i="16"/>
  <c r="P730" i="16" s="1"/>
  <c r="L730" i="16"/>
  <c r="O730" i="16" s="1"/>
  <c r="M729" i="16"/>
  <c r="P729" i="16" s="1"/>
  <c r="L729" i="16"/>
  <c r="O729" i="16" s="1"/>
  <c r="J728" i="16"/>
  <c r="I728" i="16"/>
  <c r="K728" i="16" s="1"/>
  <c r="J727" i="16"/>
  <c r="I727" i="16"/>
  <c r="K727" i="16" s="1"/>
  <c r="U723" i="16"/>
  <c r="T723" i="16"/>
  <c r="P723" i="16"/>
  <c r="O723" i="16"/>
  <c r="U722" i="16"/>
  <c r="T722" i="16"/>
  <c r="P722" i="16"/>
  <c r="O722" i="16"/>
  <c r="T721" i="16"/>
  <c r="S721" i="16"/>
  <c r="R721" i="16"/>
  <c r="U721" i="16" s="1"/>
  <c r="Q721" i="16"/>
  <c r="N721" i="16"/>
  <c r="M721" i="16"/>
  <c r="P721" i="16" s="1"/>
  <c r="L721" i="16"/>
  <c r="O721" i="16" s="1"/>
  <c r="U720" i="16"/>
  <c r="T720" i="16"/>
  <c r="P720" i="16"/>
  <c r="O720" i="16"/>
  <c r="U719" i="16"/>
  <c r="T719" i="16"/>
  <c r="P719" i="16"/>
  <c r="O719" i="16"/>
  <c r="S718" i="16"/>
  <c r="R718" i="16"/>
  <c r="U718" i="16" s="1"/>
  <c r="Q718" i="16"/>
  <c r="T718" i="16" s="1"/>
  <c r="P718" i="16"/>
  <c r="N718" i="16"/>
  <c r="M718" i="16"/>
  <c r="L718" i="16"/>
  <c r="O718" i="16" s="1"/>
  <c r="S717" i="16"/>
  <c r="R717" i="16"/>
  <c r="U717" i="16" s="1"/>
  <c r="Q717" i="16"/>
  <c r="T717" i="16" s="1"/>
  <c r="P717" i="16"/>
  <c r="N717" i="16"/>
  <c r="M717" i="16"/>
  <c r="L717" i="16"/>
  <c r="O717" i="16" s="1"/>
  <c r="U716" i="16"/>
  <c r="T716" i="16"/>
  <c r="S716" i="16"/>
  <c r="R716" i="16"/>
  <c r="Q716" i="16"/>
  <c r="P716" i="16"/>
  <c r="O716" i="16"/>
  <c r="N716" i="16"/>
  <c r="N715" i="16" s="1"/>
  <c r="M716" i="16"/>
  <c r="L716" i="16"/>
  <c r="T715" i="16"/>
  <c r="S715" i="16"/>
  <c r="R715" i="16"/>
  <c r="U715" i="16" s="1"/>
  <c r="Q715" i="16"/>
  <c r="M715" i="16"/>
  <c r="P715" i="16" s="1"/>
  <c r="L715" i="16"/>
  <c r="O715" i="16" s="1"/>
  <c r="K713" i="16"/>
  <c r="J713" i="16"/>
  <c r="K711" i="16"/>
  <c r="J711" i="16"/>
  <c r="J710" i="16"/>
  <c r="I710" i="16"/>
  <c r="K709" i="16"/>
  <c r="J709" i="16"/>
  <c r="J708" i="16"/>
  <c r="J690" i="16" s="1"/>
  <c r="I708" i="16"/>
  <c r="K707" i="16"/>
  <c r="J707" i="16"/>
  <c r="J706" i="16"/>
  <c r="I706" i="16"/>
  <c r="K705" i="16"/>
  <c r="J705" i="16"/>
  <c r="J704" i="16"/>
  <c r="I704" i="16"/>
  <c r="K703" i="16"/>
  <c r="I701" i="16"/>
  <c r="K701" i="16" s="1"/>
  <c r="U699" i="16"/>
  <c r="T699" i="16"/>
  <c r="P699" i="16"/>
  <c r="O699" i="16"/>
  <c r="U698" i="16"/>
  <c r="T698" i="16"/>
  <c r="P698" i="16"/>
  <c r="O698" i="16"/>
  <c r="S697" i="16"/>
  <c r="R697" i="16"/>
  <c r="U697" i="16" s="1"/>
  <c r="Q697" i="16"/>
  <c r="T697" i="16" s="1"/>
  <c r="N697" i="16"/>
  <c r="M697" i="16"/>
  <c r="P697" i="16" s="1"/>
  <c r="L697" i="16"/>
  <c r="O697" i="16" s="1"/>
  <c r="S696" i="16"/>
  <c r="R696" i="16"/>
  <c r="R693" i="16" s="1"/>
  <c r="Q696" i="16"/>
  <c r="P696" i="16"/>
  <c r="O696" i="16"/>
  <c r="U695" i="16"/>
  <c r="T695" i="16"/>
  <c r="P695" i="16"/>
  <c r="O695" i="16"/>
  <c r="P694" i="16"/>
  <c r="N694" i="16"/>
  <c r="M694" i="16"/>
  <c r="L694" i="16"/>
  <c r="O694" i="16" s="1"/>
  <c r="P693" i="16"/>
  <c r="N693" i="16"/>
  <c r="M693" i="16"/>
  <c r="L693" i="16"/>
  <c r="O693" i="16" s="1"/>
  <c r="T692" i="16"/>
  <c r="S692" i="16"/>
  <c r="R692" i="16"/>
  <c r="U692" i="16" s="1"/>
  <c r="Q692" i="16"/>
  <c r="P692" i="16"/>
  <c r="N692" i="16"/>
  <c r="M692" i="16"/>
  <c r="M691" i="16" s="1"/>
  <c r="P691" i="16" s="1"/>
  <c r="L692" i="16"/>
  <c r="O692" i="16" s="1"/>
  <c r="N691" i="16"/>
  <c r="J683" i="16"/>
  <c r="I683" i="16"/>
  <c r="K683" i="16" s="1"/>
  <c r="J682" i="16"/>
  <c r="I682" i="16"/>
  <c r="K682" i="16" s="1"/>
  <c r="J681" i="16"/>
  <c r="J680" i="16"/>
  <c r="I680" i="16"/>
  <c r="K680" i="16" s="1"/>
  <c r="J679" i="16"/>
  <c r="I679" i="16"/>
  <c r="J678" i="16"/>
  <c r="J677" i="16"/>
  <c r="I677" i="16"/>
  <c r="I676" i="16"/>
  <c r="I675" i="16"/>
  <c r="J674" i="16"/>
  <c r="I674" i="16"/>
  <c r="K674" i="16" s="1"/>
  <c r="J673" i="16"/>
  <c r="J672" i="16"/>
  <c r="J662" i="16"/>
  <c r="I662" i="16"/>
  <c r="K662" i="16" s="1"/>
  <c r="I661" i="16"/>
  <c r="I658" i="16"/>
  <c r="J655" i="16"/>
  <c r="I655" i="16"/>
  <c r="J654" i="16"/>
  <c r="I654" i="16"/>
  <c r="K654" i="16" s="1"/>
  <c r="J653" i="16"/>
  <c r="I653" i="16"/>
  <c r="K653" i="16" s="1"/>
  <c r="U651" i="16"/>
  <c r="T651" i="16"/>
  <c r="P651" i="16"/>
  <c r="O651" i="16"/>
  <c r="U650" i="16"/>
  <c r="T650" i="16"/>
  <c r="P650" i="16"/>
  <c r="O650" i="16"/>
  <c r="S649" i="16"/>
  <c r="R649" i="16"/>
  <c r="U649" i="16" s="1"/>
  <c r="Q649" i="16"/>
  <c r="T649" i="16" s="1"/>
  <c r="P649" i="16"/>
  <c r="N649" i="16"/>
  <c r="M649" i="16"/>
  <c r="L649" i="16"/>
  <c r="O649" i="16" s="1"/>
  <c r="S648" i="16"/>
  <c r="R648" i="16"/>
  <c r="Q648" i="16"/>
  <c r="P648" i="16"/>
  <c r="O648" i="16"/>
  <c r="U647" i="16"/>
  <c r="T647" i="16"/>
  <c r="P647" i="16"/>
  <c r="O647" i="16"/>
  <c r="N646" i="16"/>
  <c r="M646" i="16"/>
  <c r="P646" i="16" s="1"/>
  <c r="L646" i="16"/>
  <c r="O646" i="16" s="1"/>
  <c r="N645" i="16"/>
  <c r="M645" i="16"/>
  <c r="P645" i="16" s="1"/>
  <c r="L645" i="16"/>
  <c r="U644" i="16"/>
  <c r="T644" i="16"/>
  <c r="S644" i="16"/>
  <c r="R644" i="16"/>
  <c r="Q644" i="16"/>
  <c r="P644" i="16"/>
  <c r="O644" i="16"/>
  <c r="N644" i="16"/>
  <c r="M644" i="16"/>
  <c r="L644" i="16"/>
  <c r="N643" i="16"/>
  <c r="M643" i="16"/>
  <c r="P643" i="16" s="1"/>
  <c r="J637" i="16"/>
  <c r="J636" i="16" s="1"/>
  <c r="I636" i="16"/>
  <c r="K636" i="16" s="1"/>
  <c r="J633" i="16"/>
  <c r="I629" i="16"/>
  <c r="K629" i="16" s="1"/>
  <c r="I628" i="16"/>
  <c r="K628" i="16" s="1"/>
  <c r="J627" i="16"/>
  <c r="I627" i="16"/>
  <c r="U625" i="16"/>
  <c r="T625" i="16"/>
  <c r="P625" i="16"/>
  <c r="O625" i="16"/>
  <c r="U624" i="16"/>
  <c r="T624" i="16"/>
  <c r="P624" i="16"/>
  <c r="O624" i="16"/>
  <c r="S623" i="16"/>
  <c r="R623" i="16"/>
  <c r="U623" i="16" s="1"/>
  <c r="Q623" i="16"/>
  <c r="T623" i="16" s="1"/>
  <c r="P623" i="16"/>
  <c r="N623" i="16"/>
  <c r="M623" i="16"/>
  <c r="L623" i="16"/>
  <c r="O623" i="16" s="1"/>
  <c r="S622" i="16"/>
  <c r="S619" i="16" s="1"/>
  <c r="S617" i="16" s="1"/>
  <c r="R622" i="16"/>
  <c r="R619" i="16" s="1"/>
  <c r="Q622" i="16"/>
  <c r="P622" i="16"/>
  <c r="O622" i="16"/>
  <c r="U621" i="16"/>
  <c r="T621" i="16"/>
  <c r="P621" i="16"/>
  <c r="O621" i="16"/>
  <c r="O620" i="16"/>
  <c r="N620" i="16"/>
  <c r="M620" i="16"/>
  <c r="P620" i="16" s="1"/>
  <c r="L620" i="16"/>
  <c r="N619" i="16"/>
  <c r="M619" i="16"/>
  <c r="L619" i="16"/>
  <c r="O619" i="16" s="1"/>
  <c r="U618" i="16"/>
  <c r="S618" i="16"/>
  <c r="R618" i="16"/>
  <c r="Q618" i="16"/>
  <c r="O618" i="16"/>
  <c r="N618" i="16"/>
  <c r="M618" i="16"/>
  <c r="P618" i="16" s="1"/>
  <c r="L618" i="16"/>
  <c r="O617" i="16"/>
  <c r="N617" i="16"/>
  <c r="L617" i="16"/>
  <c r="J616" i="16"/>
  <c r="U608" i="16"/>
  <c r="T608" i="16"/>
  <c r="P608" i="16"/>
  <c r="O608" i="16"/>
  <c r="U607" i="16"/>
  <c r="T607" i="16"/>
  <c r="P607" i="16"/>
  <c r="O607" i="16"/>
  <c r="S606" i="16"/>
  <c r="R606" i="16"/>
  <c r="U606" i="16" s="1"/>
  <c r="Q606" i="16"/>
  <c r="T606" i="16" s="1"/>
  <c r="N606" i="16"/>
  <c r="M606" i="16"/>
  <c r="P606" i="16" s="1"/>
  <c r="L606" i="16"/>
  <c r="O606" i="16" s="1"/>
  <c r="U605" i="16"/>
  <c r="T605" i="16"/>
  <c r="P605" i="16"/>
  <c r="O605" i="16"/>
  <c r="U604" i="16"/>
  <c r="T604" i="16"/>
  <c r="P604" i="16"/>
  <c r="O604" i="16"/>
  <c r="S603" i="16"/>
  <c r="R603" i="16"/>
  <c r="U603" i="16" s="1"/>
  <c r="Q603" i="16"/>
  <c r="T603" i="16" s="1"/>
  <c r="N603" i="16"/>
  <c r="M603" i="16"/>
  <c r="P603" i="16" s="1"/>
  <c r="L603" i="16"/>
  <c r="O603" i="16" s="1"/>
  <c r="S602" i="16"/>
  <c r="R602" i="16"/>
  <c r="U602" i="16" s="1"/>
  <c r="Q602" i="16"/>
  <c r="T602" i="16" s="1"/>
  <c r="P602" i="16"/>
  <c r="N602" i="16"/>
  <c r="M602" i="16"/>
  <c r="L602" i="16"/>
  <c r="O602" i="16" s="1"/>
  <c r="U601" i="16"/>
  <c r="T601" i="16"/>
  <c r="S601" i="16"/>
  <c r="R601" i="16"/>
  <c r="Q601" i="16"/>
  <c r="P601" i="16"/>
  <c r="O601" i="16"/>
  <c r="N601" i="16"/>
  <c r="N600" i="16" s="1"/>
  <c r="M601" i="16"/>
  <c r="L601" i="16"/>
  <c r="S600" i="16"/>
  <c r="R600" i="16"/>
  <c r="U600" i="16" s="1"/>
  <c r="Q600" i="16"/>
  <c r="T600" i="16" s="1"/>
  <c r="M600" i="16"/>
  <c r="P600" i="16" s="1"/>
  <c r="L600" i="16"/>
  <c r="O600" i="16" s="1"/>
  <c r="U585" i="16"/>
  <c r="T585" i="16"/>
  <c r="P585" i="16"/>
  <c r="O585" i="16"/>
  <c r="U584" i="16"/>
  <c r="T584" i="16"/>
  <c r="P584" i="16"/>
  <c r="O584" i="16"/>
  <c r="S583" i="16"/>
  <c r="R583" i="16"/>
  <c r="U583" i="16" s="1"/>
  <c r="Q583" i="16"/>
  <c r="T583" i="16" s="1"/>
  <c r="N583" i="16"/>
  <c r="M583" i="16"/>
  <c r="P583" i="16" s="1"/>
  <c r="L583" i="16"/>
  <c r="O583" i="16" s="1"/>
  <c r="U582" i="16"/>
  <c r="T582" i="16"/>
  <c r="P582" i="16"/>
  <c r="O582" i="16"/>
  <c r="U581" i="16"/>
  <c r="T581" i="16"/>
  <c r="P581" i="16"/>
  <c r="O581" i="16"/>
  <c r="S580" i="16"/>
  <c r="R580" i="16"/>
  <c r="U580" i="16" s="1"/>
  <c r="Q580" i="16"/>
  <c r="T580" i="16" s="1"/>
  <c r="N580" i="16"/>
  <c r="M580" i="16"/>
  <c r="P580" i="16" s="1"/>
  <c r="L580" i="16"/>
  <c r="O580" i="16" s="1"/>
  <c r="U579" i="16"/>
  <c r="T579" i="16"/>
  <c r="S579" i="16"/>
  <c r="R579" i="16"/>
  <c r="Q579" i="16"/>
  <c r="P579" i="16"/>
  <c r="N579" i="16"/>
  <c r="M579" i="16"/>
  <c r="L579" i="16"/>
  <c r="O579" i="16" s="1"/>
  <c r="T578" i="16"/>
  <c r="S578" i="16"/>
  <c r="R578" i="16"/>
  <c r="U578" i="16" s="1"/>
  <c r="Q578" i="16"/>
  <c r="N578" i="16"/>
  <c r="N577" i="16" s="1"/>
  <c r="M578" i="16"/>
  <c r="P578" i="16" s="1"/>
  <c r="L578" i="16"/>
  <c r="O578" i="16" s="1"/>
  <c r="T577" i="16"/>
  <c r="S577" i="16"/>
  <c r="R577" i="16"/>
  <c r="U577" i="16" s="1"/>
  <c r="Q577" i="16"/>
  <c r="P577" i="16"/>
  <c r="M577" i="16"/>
  <c r="L577" i="16"/>
  <c r="O577" i="16" s="1"/>
  <c r="J576" i="16"/>
  <c r="I576" i="16"/>
  <c r="K576" i="16" s="1"/>
  <c r="U564" i="16"/>
  <c r="T564" i="16"/>
  <c r="P564" i="16"/>
  <c r="O564" i="16"/>
  <c r="U563" i="16"/>
  <c r="T563" i="16"/>
  <c r="P563" i="16"/>
  <c r="O563" i="16"/>
  <c r="U562" i="16"/>
  <c r="S562" i="16"/>
  <c r="R562" i="16"/>
  <c r="Q562" i="16"/>
  <c r="T562" i="16" s="1"/>
  <c r="O562" i="16"/>
  <c r="N562" i="16"/>
  <c r="M562" i="16"/>
  <c r="P562" i="16" s="1"/>
  <c r="L562" i="16"/>
  <c r="U561" i="16"/>
  <c r="T561" i="16"/>
  <c r="P561" i="16"/>
  <c r="O561" i="16"/>
  <c r="U560" i="16"/>
  <c r="T560" i="16"/>
  <c r="P560" i="16"/>
  <c r="O560" i="16"/>
  <c r="U559" i="16"/>
  <c r="T559" i="16"/>
  <c r="S559" i="16"/>
  <c r="R559" i="16"/>
  <c r="Q559" i="16"/>
  <c r="O559" i="16"/>
  <c r="N559" i="16"/>
  <c r="M559" i="16"/>
  <c r="P559" i="16" s="1"/>
  <c r="L559" i="16"/>
  <c r="S558" i="16"/>
  <c r="S556" i="16" s="1"/>
  <c r="R558" i="16"/>
  <c r="U558" i="16" s="1"/>
  <c r="Q558" i="16"/>
  <c r="T558" i="16" s="1"/>
  <c r="N558" i="16"/>
  <c r="M558" i="16"/>
  <c r="L558" i="16"/>
  <c r="O558" i="16" s="1"/>
  <c r="U557" i="16"/>
  <c r="S557" i="16"/>
  <c r="R557" i="16"/>
  <c r="Q557" i="16"/>
  <c r="P557" i="16"/>
  <c r="O557" i="16"/>
  <c r="N557" i="16"/>
  <c r="M557" i="16"/>
  <c r="L557" i="16"/>
  <c r="U556" i="16"/>
  <c r="R556" i="16"/>
  <c r="O556" i="16"/>
  <c r="N556" i="16"/>
  <c r="L556" i="16"/>
  <c r="J555" i="16"/>
  <c r="I555" i="16"/>
  <c r="K555" i="16" s="1"/>
  <c r="U543" i="16"/>
  <c r="T543" i="16"/>
  <c r="P543" i="16"/>
  <c r="O543" i="16"/>
  <c r="U542" i="16"/>
  <c r="T542" i="16"/>
  <c r="P542" i="16"/>
  <c r="O542" i="16"/>
  <c r="T541" i="16"/>
  <c r="S541" i="16"/>
  <c r="R541" i="16"/>
  <c r="U541" i="16" s="1"/>
  <c r="Q541" i="16"/>
  <c r="N541" i="16"/>
  <c r="M541" i="16"/>
  <c r="P541" i="16" s="1"/>
  <c r="L541" i="16"/>
  <c r="O541" i="16" s="1"/>
  <c r="U540" i="16"/>
  <c r="T540" i="16"/>
  <c r="P540" i="16"/>
  <c r="O540" i="16"/>
  <c r="U539" i="16"/>
  <c r="T539" i="16"/>
  <c r="P539" i="16"/>
  <c r="O539" i="16"/>
  <c r="T538" i="16"/>
  <c r="S538" i="16"/>
  <c r="R538" i="16"/>
  <c r="U538" i="16" s="1"/>
  <c r="Q538" i="16"/>
  <c r="P538" i="16"/>
  <c r="N538" i="16"/>
  <c r="M538" i="16"/>
  <c r="L538" i="16"/>
  <c r="O538" i="16" s="1"/>
  <c r="S537" i="16"/>
  <c r="R537" i="16"/>
  <c r="U537" i="16" s="1"/>
  <c r="Q537" i="16"/>
  <c r="T537" i="16" s="1"/>
  <c r="P537" i="16"/>
  <c r="N537" i="16"/>
  <c r="M537" i="16"/>
  <c r="L537" i="16"/>
  <c r="O537" i="16" s="1"/>
  <c r="U536" i="16"/>
  <c r="T536" i="16"/>
  <c r="S536" i="16"/>
  <c r="R536" i="16"/>
  <c r="Q536" i="16"/>
  <c r="P536" i="16"/>
  <c r="O536" i="16"/>
  <c r="N536" i="16"/>
  <c r="N535" i="16" s="1"/>
  <c r="M536" i="16"/>
  <c r="L536" i="16"/>
  <c r="S535" i="16"/>
  <c r="R535" i="16"/>
  <c r="U535" i="16" s="1"/>
  <c r="Q535" i="16"/>
  <c r="T535" i="16" s="1"/>
  <c r="M535" i="16"/>
  <c r="P535" i="16" s="1"/>
  <c r="L535" i="16"/>
  <c r="O535" i="16" s="1"/>
  <c r="J534" i="16"/>
  <c r="I534" i="16"/>
  <c r="K534" i="16" s="1"/>
  <c r="K525" i="16"/>
  <c r="K524" i="16"/>
  <c r="U522" i="16"/>
  <c r="T522" i="16"/>
  <c r="N522" i="16"/>
  <c r="N520" i="16" s="1"/>
  <c r="M522" i="16"/>
  <c r="M520" i="16" s="1"/>
  <c r="P520" i="16" s="1"/>
  <c r="L522" i="16"/>
  <c r="U521" i="16"/>
  <c r="T521" i="16"/>
  <c r="P521" i="16"/>
  <c r="O521" i="16"/>
  <c r="U520" i="16"/>
  <c r="T520" i="16"/>
  <c r="S520" i="16"/>
  <c r="R520" i="16"/>
  <c r="Q520" i="16"/>
  <c r="U519" i="16"/>
  <c r="T519" i="16"/>
  <c r="N519" i="16"/>
  <c r="N517" i="16" s="1"/>
  <c r="M519" i="16"/>
  <c r="M517" i="16" s="1"/>
  <c r="P517" i="16" s="1"/>
  <c r="L519" i="16"/>
  <c r="L517" i="16" s="1"/>
  <c r="O517" i="16" s="1"/>
  <c r="U518" i="16"/>
  <c r="T518" i="16"/>
  <c r="P518" i="16"/>
  <c r="O518" i="16"/>
  <c r="S517" i="16"/>
  <c r="R517" i="16"/>
  <c r="U517" i="16" s="1"/>
  <c r="Q517" i="16"/>
  <c r="T517" i="16" s="1"/>
  <c r="U516" i="16"/>
  <c r="T516" i="16"/>
  <c r="S516" i="16"/>
  <c r="R516" i="16"/>
  <c r="Q516" i="16"/>
  <c r="T515" i="16"/>
  <c r="S515" i="16"/>
  <c r="S514" i="16" s="1"/>
  <c r="R515" i="16"/>
  <c r="U515" i="16" s="1"/>
  <c r="Q515" i="16"/>
  <c r="N515" i="16"/>
  <c r="M515" i="16"/>
  <c r="L515" i="16"/>
  <c r="O515" i="16" s="1"/>
  <c r="R514" i="16"/>
  <c r="U514" i="16" s="1"/>
  <c r="Q514" i="16"/>
  <c r="T514" i="16" s="1"/>
  <c r="K513" i="16"/>
  <c r="J513" i="16"/>
  <c r="I513" i="16"/>
  <c r="I510" i="16"/>
  <c r="K510" i="16" s="1"/>
  <c r="K509" i="16"/>
  <c r="I508" i="16"/>
  <c r="K508" i="16" s="1"/>
  <c r="I507" i="16"/>
  <c r="K507" i="16" s="1"/>
  <c r="I506" i="16"/>
  <c r="I505" i="16"/>
  <c r="K505" i="16" s="1"/>
  <c r="I504" i="16"/>
  <c r="K504" i="16" s="1"/>
  <c r="U502" i="16"/>
  <c r="T502" i="16"/>
  <c r="P502" i="16"/>
  <c r="O502" i="16"/>
  <c r="U501" i="16"/>
  <c r="T501" i="16"/>
  <c r="P501" i="16"/>
  <c r="O501" i="16"/>
  <c r="S500" i="16"/>
  <c r="R500" i="16"/>
  <c r="U500" i="16" s="1"/>
  <c r="Q500" i="16"/>
  <c r="T500" i="16" s="1"/>
  <c r="P500" i="16"/>
  <c r="N500" i="16"/>
  <c r="M500" i="16"/>
  <c r="L500" i="16"/>
  <c r="O500" i="16" s="1"/>
  <c r="S499" i="16"/>
  <c r="S497" i="16" s="1"/>
  <c r="R499" i="16"/>
  <c r="U499" i="16" s="1"/>
  <c r="Q499" i="16"/>
  <c r="Q496" i="16" s="1"/>
  <c r="P499" i="16"/>
  <c r="O499" i="16"/>
  <c r="U498" i="16"/>
  <c r="T498" i="16"/>
  <c r="P498" i="16"/>
  <c r="O498" i="16"/>
  <c r="N497" i="16"/>
  <c r="M497" i="16"/>
  <c r="P497" i="16" s="1"/>
  <c r="L497" i="16"/>
  <c r="O497" i="16" s="1"/>
  <c r="P496" i="16"/>
  <c r="N496" i="16"/>
  <c r="M496" i="16"/>
  <c r="L496" i="16"/>
  <c r="L494" i="16" s="1"/>
  <c r="O494" i="16" s="1"/>
  <c r="U495" i="16"/>
  <c r="T495" i="16"/>
  <c r="S495" i="16"/>
  <c r="R495" i="16"/>
  <c r="Q495" i="16"/>
  <c r="O495" i="16"/>
  <c r="N495" i="16"/>
  <c r="M495" i="16"/>
  <c r="P495" i="16" s="1"/>
  <c r="L495" i="16"/>
  <c r="N494" i="16"/>
  <c r="M494" i="16"/>
  <c r="P494" i="16" s="1"/>
  <c r="K486" i="16"/>
  <c r="J486" i="16"/>
  <c r="I486" i="16"/>
  <c r="K485" i="16"/>
  <c r="J485" i="16"/>
  <c r="I485" i="16"/>
  <c r="J484" i="16"/>
  <c r="J483" i="16"/>
  <c r="K478" i="16"/>
  <c r="J478" i="16"/>
  <c r="K477" i="16"/>
  <c r="J477" i="16"/>
  <c r="K476" i="16"/>
  <c r="J476" i="16"/>
  <c r="J469" i="16"/>
  <c r="J468" i="16"/>
  <c r="J458" i="16" s="1"/>
  <c r="J457" i="16" s="1"/>
  <c r="J461" i="16"/>
  <c r="J460" i="16"/>
  <c r="J459" i="16"/>
  <c r="I459" i="16"/>
  <c r="K459" i="16" s="1"/>
  <c r="I458" i="16"/>
  <c r="K458" i="16" s="1"/>
  <c r="J448" i="16"/>
  <c r="J442" i="16" s="1"/>
  <c r="J447" i="16"/>
  <c r="I442" i="16"/>
  <c r="K442" i="16" s="1"/>
  <c r="J441" i="16"/>
  <c r="J424" i="16" s="1"/>
  <c r="J413" i="16" s="1"/>
  <c r="I441" i="16"/>
  <c r="K441" i="16" s="1"/>
  <c r="J434" i="16"/>
  <c r="I434" i="16"/>
  <c r="K434" i="16" s="1"/>
  <c r="J433" i="16"/>
  <c r="I433" i="16"/>
  <c r="K433" i="16" s="1"/>
  <c r="J426" i="16"/>
  <c r="I426" i="16"/>
  <c r="K426" i="16" s="1"/>
  <c r="J425" i="16"/>
  <c r="I425" i="16"/>
  <c r="K425" i="16" s="1"/>
  <c r="U422" i="16"/>
  <c r="T422" i="16"/>
  <c r="P422" i="16"/>
  <c r="O422" i="16"/>
  <c r="U421" i="16"/>
  <c r="T421" i="16"/>
  <c r="P421" i="16"/>
  <c r="O421" i="16"/>
  <c r="S420" i="16"/>
  <c r="R420" i="16"/>
  <c r="U420" i="16" s="1"/>
  <c r="Q420" i="16"/>
  <c r="T420" i="16" s="1"/>
  <c r="P420" i="16"/>
  <c r="N420" i="16"/>
  <c r="M420" i="16"/>
  <c r="L420" i="16"/>
  <c r="O420" i="16" s="1"/>
  <c r="S419" i="16"/>
  <c r="R419" i="16"/>
  <c r="R416" i="16" s="1"/>
  <c r="U416" i="16" s="1"/>
  <c r="Q419" i="16"/>
  <c r="Q417" i="16" s="1"/>
  <c r="T417" i="16" s="1"/>
  <c r="P419" i="16"/>
  <c r="O419" i="16"/>
  <c r="U418" i="16"/>
  <c r="T418" i="16"/>
  <c r="P418" i="16"/>
  <c r="O418" i="16"/>
  <c r="O417" i="16"/>
  <c r="N417" i="16"/>
  <c r="M417" i="16"/>
  <c r="P417" i="16" s="1"/>
  <c r="L417" i="16"/>
  <c r="N416" i="16"/>
  <c r="M416" i="16"/>
  <c r="L416" i="16"/>
  <c r="O416" i="16" s="1"/>
  <c r="U415" i="16"/>
  <c r="S415" i="16"/>
  <c r="R415" i="16"/>
  <c r="Q415" i="16"/>
  <c r="P415" i="16"/>
  <c r="O415" i="16"/>
  <c r="N415" i="16"/>
  <c r="M415" i="16"/>
  <c r="L415" i="16"/>
  <c r="L414" i="16" s="1"/>
  <c r="O414" i="16" s="1"/>
  <c r="N414" i="16"/>
  <c r="U401" i="16"/>
  <c r="T401" i="16"/>
  <c r="P401" i="16"/>
  <c r="O401" i="16"/>
  <c r="U400" i="16"/>
  <c r="T400" i="16"/>
  <c r="P400" i="16"/>
  <c r="O400" i="16"/>
  <c r="S399" i="16"/>
  <c r="R399" i="16"/>
  <c r="U399" i="16" s="1"/>
  <c r="Q399" i="16"/>
  <c r="T399" i="16" s="1"/>
  <c r="P399" i="16"/>
  <c r="N399" i="16"/>
  <c r="M399" i="16"/>
  <c r="L399" i="16"/>
  <c r="O399" i="16" s="1"/>
  <c r="U398" i="16"/>
  <c r="T398" i="16"/>
  <c r="P398" i="16"/>
  <c r="O398" i="16"/>
  <c r="U397" i="16"/>
  <c r="T397" i="16"/>
  <c r="P397" i="16"/>
  <c r="O397" i="16"/>
  <c r="S396" i="16"/>
  <c r="R396" i="16"/>
  <c r="U396" i="16" s="1"/>
  <c r="Q396" i="16"/>
  <c r="T396" i="16" s="1"/>
  <c r="P396" i="16"/>
  <c r="N396" i="16"/>
  <c r="M396" i="16"/>
  <c r="L396" i="16"/>
  <c r="O396" i="16" s="1"/>
  <c r="T395" i="16"/>
  <c r="S395" i="16"/>
  <c r="R395" i="16"/>
  <c r="U395" i="16" s="1"/>
  <c r="Q395" i="16"/>
  <c r="P395" i="16"/>
  <c r="N395" i="16"/>
  <c r="M395" i="16"/>
  <c r="L395" i="16"/>
  <c r="O395" i="16" s="1"/>
  <c r="T394" i="16"/>
  <c r="S394" i="16"/>
  <c r="R394" i="16"/>
  <c r="U394" i="16" s="1"/>
  <c r="Q394" i="16"/>
  <c r="N394" i="16"/>
  <c r="N393" i="16" s="1"/>
  <c r="M394" i="16"/>
  <c r="P394" i="16" s="1"/>
  <c r="L394" i="16"/>
  <c r="O394" i="16" s="1"/>
  <c r="S393" i="16"/>
  <c r="R393" i="16"/>
  <c r="U393" i="16" s="1"/>
  <c r="Q393" i="16"/>
  <c r="T393" i="16" s="1"/>
  <c r="M393" i="16"/>
  <c r="P393" i="16" s="1"/>
  <c r="L393" i="16"/>
  <c r="O393" i="16" s="1"/>
  <c r="J392" i="16"/>
  <c r="I392" i="16"/>
  <c r="K392" i="16" s="1"/>
  <c r="J389" i="16"/>
  <c r="I389" i="16"/>
  <c r="K389" i="16" s="1"/>
  <c r="K388" i="16"/>
  <c r="J388" i="16"/>
  <c r="J387" i="16"/>
  <c r="I387" i="16"/>
  <c r="K386" i="16"/>
  <c r="J386" i="16"/>
  <c r="U384" i="16"/>
  <c r="T384" i="16"/>
  <c r="P384" i="16"/>
  <c r="O384" i="16"/>
  <c r="U383" i="16"/>
  <c r="T383" i="16"/>
  <c r="P383" i="16"/>
  <c r="O383" i="16"/>
  <c r="U382" i="16"/>
  <c r="T382" i="16"/>
  <c r="S382" i="16"/>
  <c r="R382" i="16"/>
  <c r="Q382" i="16"/>
  <c r="O382" i="16"/>
  <c r="N382" i="16"/>
  <c r="M382" i="16"/>
  <c r="P382" i="16" s="1"/>
  <c r="L382" i="16"/>
  <c r="S381" i="16"/>
  <c r="S378" i="16" s="1"/>
  <c r="R381" i="16"/>
  <c r="U381" i="16" s="1"/>
  <c r="Q381" i="16"/>
  <c r="P381" i="16"/>
  <c r="O381" i="16"/>
  <c r="U380" i="16"/>
  <c r="T380" i="16"/>
  <c r="P380" i="16"/>
  <c r="O380" i="16"/>
  <c r="P379" i="16"/>
  <c r="N379" i="16"/>
  <c r="M379" i="16"/>
  <c r="L379" i="16"/>
  <c r="O379" i="16" s="1"/>
  <c r="N378" i="16"/>
  <c r="N376" i="16" s="1"/>
  <c r="M378" i="16"/>
  <c r="P378" i="16" s="1"/>
  <c r="L378" i="16"/>
  <c r="O378" i="16" s="1"/>
  <c r="S377" i="16"/>
  <c r="R377" i="16"/>
  <c r="Q377" i="16"/>
  <c r="T377" i="16" s="1"/>
  <c r="N377" i="16"/>
  <c r="M377" i="16"/>
  <c r="P377" i="16" s="1"/>
  <c r="L377" i="16"/>
  <c r="O377" i="16" s="1"/>
  <c r="M376" i="16"/>
  <c r="P376" i="16" s="1"/>
  <c r="L376" i="16"/>
  <c r="O376" i="16" s="1"/>
  <c r="D374" i="16"/>
  <c r="K373" i="16"/>
  <c r="J373" i="16"/>
  <c r="J372" i="16"/>
  <c r="J366" i="16" s="1"/>
  <c r="I372" i="16"/>
  <c r="K371" i="16"/>
  <c r="J371" i="16"/>
  <c r="J370" i="16"/>
  <c r="I370" i="16"/>
  <c r="J369" i="16"/>
  <c r="I369" i="16"/>
  <c r="K368" i="16"/>
  <c r="J368" i="16"/>
  <c r="U365" i="16"/>
  <c r="T365" i="16"/>
  <c r="N365" i="16"/>
  <c r="N363" i="16" s="1"/>
  <c r="M365" i="16"/>
  <c r="P365" i="16" s="1"/>
  <c r="L365" i="16"/>
  <c r="U364" i="16"/>
  <c r="T364" i="16"/>
  <c r="P364" i="16"/>
  <c r="O364" i="16"/>
  <c r="T363" i="16"/>
  <c r="S363" i="16"/>
  <c r="R363" i="16"/>
  <c r="U363" i="16" s="1"/>
  <c r="Q363" i="16"/>
  <c r="U362" i="16"/>
  <c r="T362" i="16"/>
  <c r="N362" i="16"/>
  <c r="N360" i="16" s="1"/>
  <c r="M362" i="16"/>
  <c r="L362" i="16"/>
  <c r="L360" i="16" s="1"/>
  <c r="U361" i="16"/>
  <c r="T361" i="16"/>
  <c r="P361" i="16"/>
  <c r="O361" i="16"/>
  <c r="U360" i="16"/>
  <c r="S360" i="16"/>
  <c r="R360" i="16"/>
  <c r="Q360" i="16"/>
  <c r="T360" i="16" s="1"/>
  <c r="U359" i="16"/>
  <c r="T359" i="16"/>
  <c r="S359" i="16"/>
  <c r="R359" i="16"/>
  <c r="Q359" i="16"/>
  <c r="S358" i="16"/>
  <c r="S357" i="16" s="1"/>
  <c r="R358" i="16"/>
  <c r="R357" i="16" s="1"/>
  <c r="U357" i="16" s="1"/>
  <c r="Q358" i="16"/>
  <c r="T358" i="16" s="1"/>
  <c r="N358" i="16"/>
  <c r="M358" i="16"/>
  <c r="L358" i="16"/>
  <c r="Q357" i="16"/>
  <c r="T357" i="16" s="1"/>
  <c r="D355" i="16"/>
  <c r="J354" i="16"/>
  <c r="J353" i="16"/>
  <c r="D351" i="16"/>
  <c r="J350" i="16"/>
  <c r="J349" i="16"/>
  <c r="J348" i="16"/>
  <c r="J347" i="16"/>
  <c r="I347" i="16"/>
  <c r="J345" i="16"/>
  <c r="I345" i="16"/>
  <c r="U342" i="16"/>
  <c r="T342" i="16"/>
  <c r="N342" i="16"/>
  <c r="N340" i="16" s="1"/>
  <c r="M342" i="16"/>
  <c r="P342" i="16" s="1"/>
  <c r="L342" i="16"/>
  <c r="O342" i="16" s="1"/>
  <c r="U341" i="16"/>
  <c r="T341" i="16"/>
  <c r="P341" i="16"/>
  <c r="O341" i="16"/>
  <c r="U340" i="16"/>
  <c r="S340" i="16"/>
  <c r="R340" i="16"/>
  <c r="Q340" i="16"/>
  <c r="T340" i="16" s="1"/>
  <c r="U339" i="16"/>
  <c r="T339" i="16"/>
  <c r="N339" i="16"/>
  <c r="M339" i="16"/>
  <c r="M337" i="16" s="1"/>
  <c r="L339" i="16"/>
  <c r="U338" i="16"/>
  <c r="T338" i="16"/>
  <c r="P338" i="16"/>
  <c r="O338" i="16"/>
  <c r="T337" i="16"/>
  <c r="S337" i="16"/>
  <c r="R337" i="16"/>
  <c r="U337" i="16" s="1"/>
  <c r="Q337" i="16"/>
  <c r="S336" i="16"/>
  <c r="R336" i="16"/>
  <c r="U336" i="16" s="1"/>
  <c r="Q336" i="16"/>
  <c r="T336" i="16" s="1"/>
  <c r="U335" i="16"/>
  <c r="T335" i="16"/>
  <c r="S335" i="16"/>
  <c r="R335" i="16"/>
  <c r="Q335" i="16"/>
  <c r="P335" i="16"/>
  <c r="O335" i="16"/>
  <c r="N335" i="16"/>
  <c r="M335" i="16"/>
  <c r="L335" i="16"/>
  <c r="S334" i="16"/>
  <c r="R334" i="16"/>
  <c r="U334" i="16" s="1"/>
  <c r="I331" i="16"/>
  <c r="I320" i="16" s="1"/>
  <c r="K320" i="16" s="1"/>
  <c r="U329" i="16"/>
  <c r="T329" i="16"/>
  <c r="N329" i="16"/>
  <c r="M329" i="16"/>
  <c r="L329" i="16"/>
  <c r="U328" i="16"/>
  <c r="T328" i="16"/>
  <c r="P328" i="16"/>
  <c r="O328" i="16"/>
  <c r="U327" i="16"/>
  <c r="T327" i="16"/>
  <c r="S327" i="16"/>
  <c r="R327" i="16"/>
  <c r="Q327" i="16"/>
  <c r="U326" i="16"/>
  <c r="T326" i="16"/>
  <c r="N326" i="16"/>
  <c r="N324" i="16" s="1"/>
  <c r="M326" i="16"/>
  <c r="M324" i="16" s="1"/>
  <c r="P324" i="16" s="1"/>
  <c r="L326" i="16"/>
  <c r="O326" i="16" s="1"/>
  <c r="U325" i="16"/>
  <c r="T325" i="16"/>
  <c r="P325" i="16"/>
  <c r="O325" i="16"/>
  <c r="S324" i="16"/>
  <c r="R324" i="16"/>
  <c r="U324" i="16" s="1"/>
  <c r="Q324" i="16"/>
  <c r="T324" i="16" s="1"/>
  <c r="U323" i="16"/>
  <c r="S323" i="16"/>
  <c r="R323" i="16"/>
  <c r="Q323" i="16"/>
  <c r="T323" i="16" s="1"/>
  <c r="U322" i="16"/>
  <c r="T322" i="16"/>
  <c r="S322" i="16"/>
  <c r="S321" i="16" s="1"/>
  <c r="R322" i="16"/>
  <c r="Q322" i="16"/>
  <c r="O322" i="16"/>
  <c r="N322" i="16"/>
  <c r="M322" i="16"/>
  <c r="P322" i="16" s="1"/>
  <c r="L322" i="16"/>
  <c r="R321" i="16"/>
  <c r="U321" i="16" s="1"/>
  <c r="Q321" i="16"/>
  <c r="T321" i="16" s="1"/>
  <c r="J320" i="16"/>
  <c r="I315" i="16"/>
  <c r="U312" i="16"/>
  <c r="T312" i="16"/>
  <c r="N312" i="16"/>
  <c r="N310" i="16" s="1"/>
  <c r="M312" i="16"/>
  <c r="L312" i="16"/>
  <c r="U311" i="16"/>
  <c r="T311" i="16"/>
  <c r="P311" i="16"/>
  <c r="O311" i="16"/>
  <c r="U310" i="16"/>
  <c r="T310" i="16"/>
  <c r="S310" i="16"/>
  <c r="R310" i="16"/>
  <c r="Q310" i="16"/>
  <c r="S309" i="16"/>
  <c r="S306" i="16" s="1"/>
  <c r="S304" i="16" s="1"/>
  <c r="R309" i="16"/>
  <c r="Q309" i="16"/>
  <c r="N309" i="16"/>
  <c r="N307" i="16" s="1"/>
  <c r="M309" i="16"/>
  <c r="P309" i="16" s="1"/>
  <c r="L309" i="16"/>
  <c r="U308" i="16"/>
  <c r="T308" i="16"/>
  <c r="P308" i="16"/>
  <c r="O308" i="16"/>
  <c r="U305" i="16"/>
  <c r="S305" i="16"/>
  <c r="R305" i="16"/>
  <c r="Q305" i="16"/>
  <c r="P305" i="16"/>
  <c r="O305" i="16"/>
  <c r="N305" i="16"/>
  <c r="M305" i="16"/>
  <c r="L305" i="16"/>
  <c r="J303" i="16"/>
  <c r="I297" i="16"/>
  <c r="K297" i="16" s="1"/>
  <c r="I296" i="16"/>
  <c r="K296" i="16" s="1"/>
  <c r="J294" i="16"/>
  <c r="I294" i="16"/>
  <c r="I293" i="16"/>
  <c r="I282" i="16" s="1"/>
  <c r="K282" i="16" s="1"/>
  <c r="U291" i="16"/>
  <c r="T291" i="16"/>
  <c r="N291" i="16"/>
  <c r="M291" i="16"/>
  <c r="M289" i="16" s="1"/>
  <c r="P289" i="16" s="1"/>
  <c r="L291" i="16"/>
  <c r="O291" i="16" s="1"/>
  <c r="U290" i="16"/>
  <c r="T290" i="16"/>
  <c r="P290" i="16"/>
  <c r="O290" i="16"/>
  <c r="S289" i="16"/>
  <c r="R289" i="16"/>
  <c r="U289" i="16" s="1"/>
  <c r="Q289" i="16"/>
  <c r="T289" i="16" s="1"/>
  <c r="U288" i="16"/>
  <c r="T288" i="16"/>
  <c r="N288" i="16"/>
  <c r="N286" i="16" s="1"/>
  <c r="M288" i="16"/>
  <c r="M286" i="16" s="1"/>
  <c r="L288" i="16"/>
  <c r="U287" i="16"/>
  <c r="T287" i="16"/>
  <c r="P287" i="16"/>
  <c r="O287" i="16"/>
  <c r="U286" i="16"/>
  <c r="T286" i="16"/>
  <c r="S286" i="16"/>
  <c r="R286" i="16"/>
  <c r="Q286" i="16"/>
  <c r="S285" i="16"/>
  <c r="R285" i="16"/>
  <c r="U285" i="16" s="1"/>
  <c r="Q285" i="16"/>
  <c r="T285" i="16" s="1"/>
  <c r="U284" i="16"/>
  <c r="S284" i="16"/>
  <c r="R284" i="16"/>
  <c r="Q284" i="16"/>
  <c r="P284" i="16"/>
  <c r="O284" i="16"/>
  <c r="N284" i="16"/>
  <c r="M284" i="16"/>
  <c r="L284" i="16"/>
  <c r="S283" i="16"/>
  <c r="J282" i="16"/>
  <c r="J281" i="16"/>
  <c r="I277" i="16"/>
  <c r="K277" i="16" s="1"/>
  <c r="U275" i="16"/>
  <c r="T275" i="16"/>
  <c r="N275" i="16"/>
  <c r="N273" i="16" s="1"/>
  <c r="M275" i="16"/>
  <c r="P275" i="16" s="1"/>
  <c r="L275" i="16"/>
  <c r="U274" i="16"/>
  <c r="T274" i="16"/>
  <c r="P274" i="16"/>
  <c r="O274" i="16"/>
  <c r="T273" i="16"/>
  <c r="S273" i="16"/>
  <c r="R273" i="16"/>
  <c r="U273" i="16" s="1"/>
  <c r="Q273" i="16"/>
  <c r="S272" i="16"/>
  <c r="S270" i="16" s="1"/>
  <c r="R272" i="16"/>
  <c r="Q272" i="16"/>
  <c r="Q269" i="16" s="1"/>
  <c r="N272" i="16"/>
  <c r="N270" i="16" s="1"/>
  <c r="M272" i="16"/>
  <c r="M270" i="16" s="1"/>
  <c r="L272" i="16"/>
  <c r="O272" i="16" s="1"/>
  <c r="U271" i="16"/>
  <c r="T271" i="16"/>
  <c r="P271" i="16"/>
  <c r="O271" i="16"/>
  <c r="U268" i="16"/>
  <c r="T268" i="16"/>
  <c r="S268" i="16"/>
  <c r="R268" i="16"/>
  <c r="Q268" i="16"/>
  <c r="P268" i="16"/>
  <c r="O268" i="16"/>
  <c r="N268" i="16"/>
  <c r="M268" i="16"/>
  <c r="L268" i="16"/>
  <c r="J266" i="16"/>
  <c r="K264" i="16"/>
  <c r="K263" i="16"/>
  <c r="I261" i="16"/>
  <c r="K261" i="16" s="1"/>
  <c r="L259" i="16"/>
  <c r="L258" i="16"/>
  <c r="L257" i="16"/>
  <c r="L256" i="16"/>
  <c r="P255" i="16"/>
  <c r="N255" i="16"/>
  <c r="J254" i="16"/>
  <c r="K253" i="16"/>
  <c r="K252" i="16"/>
  <c r="I250" i="16"/>
  <c r="L248" i="16"/>
  <c r="L247" i="16"/>
  <c r="L246" i="16"/>
  <c r="L245" i="16"/>
  <c r="P244" i="16"/>
  <c r="N244" i="16"/>
  <c r="N233" i="16" s="1"/>
  <c r="J243" i="16"/>
  <c r="K242" i="16"/>
  <c r="J242" i="16"/>
  <c r="I242" i="16"/>
  <c r="J241" i="16"/>
  <c r="I241" i="16"/>
  <c r="K241" i="16" s="1"/>
  <c r="J239" i="16"/>
  <c r="N237" i="16"/>
  <c r="N236" i="16"/>
  <c r="N235" i="16"/>
  <c r="N234" i="16"/>
  <c r="J232" i="16"/>
  <c r="J186" i="16" s="1"/>
  <c r="I231" i="16"/>
  <c r="K231" i="16" s="1"/>
  <c r="I230" i="16"/>
  <c r="I222" i="16" s="1"/>
  <c r="K222" i="16" s="1"/>
  <c r="I229" i="16"/>
  <c r="K229" i="16" s="1"/>
  <c r="L226" i="16"/>
  <c r="L225" i="16"/>
  <c r="L224" i="16"/>
  <c r="P223" i="16"/>
  <c r="N223" i="16"/>
  <c r="J222" i="16"/>
  <c r="I221" i="16"/>
  <c r="I214" i="16" s="1"/>
  <c r="K214" i="16" s="1"/>
  <c r="I220" i="16"/>
  <c r="K220" i="16" s="1"/>
  <c r="L218" i="16"/>
  <c r="L217" i="16"/>
  <c r="L216" i="16"/>
  <c r="P215" i="16"/>
  <c r="N215" i="16"/>
  <c r="J214" i="16"/>
  <c r="I213" i="16"/>
  <c r="K213" i="16" s="1"/>
  <c r="I212" i="16"/>
  <c r="K212" i="16" s="1"/>
  <c r="I210" i="16"/>
  <c r="I203" i="16" s="1"/>
  <c r="K203" i="16" s="1"/>
  <c r="L208" i="16"/>
  <c r="L207" i="16"/>
  <c r="L206" i="16"/>
  <c r="L205" i="16"/>
  <c r="P204" i="16"/>
  <c r="N204" i="16"/>
  <c r="J203" i="16"/>
  <c r="J200" i="16"/>
  <c r="I199" i="16"/>
  <c r="P197" i="16"/>
  <c r="L197" i="16"/>
  <c r="O197" i="16" s="1"/>
  <c r="J196" i="16"/>
  <c r="U195" i="16"/>
  <c r="T195" i="16"/>
  <c r="N195" i="16"/>
  <c r="N193" i="16" s="1"/>
  <c r="M195" i="16"/>
  <c r="L195" i="16"/>
  <c r="O195" i="16" s="1"/>
  <c r="U194" i="16"/>
  <c r="T194" i="16"/>
  <c r="P194" i="16"/>
  <c r="O194" i="16"/>
  <c r="T193" i="16"/>
  <c r="S193" i="16"/>
  <c r="R193" i="16"/>
  <c r="U193" i="16" s="1"/>
  <c r="Q193" i="16"/>
  <c r="S192" i="16"/>
  <c r="R192" i="16"/>
  <c r="R190" i="16" s="1"/>
  <c r="Q192" i="16"/>
  <c r="Q189" i="16" s="1"/>
  <c r="N192" i="16"/>
  <c r="N190" i="16" s="1"/>
  <c r="M192" i="16"/>
  <c r="M190" i="16" s="1"/>
  <c r="L192" i="16"/>
  <c r="U191" i="16"/>
  <c r="T191" i="16"/>
  <c r="P191" i="16"/>
  <c r="O191" i="16"/>
  <c r="U188" i="16"/>
  <c r="T188" i="16"/>
  <c r="S188" i="16"/>
  <c r="R188" i="16"/>
  <c r="Q188" i="16"/>
  <c r="P188" i="16"/>
  <c r="O188" i="16"/>
  <c r="N188" i="16"/>
  <c r="M188" i="16"/>
  <c r="L188" i="16"/>
  <c r="K185" i="16"/>
  <c r="I184" i="16"/>
  <c r="K184" i="16" s="1"/>
  <c r="U182" i="16"/>
  <c r="T182" i="16"/>
  <c r="N182" i="16"/>
  <c r="N180" i="16" s="1"/>
  <c r="M182" i="16"/>
  <c r="L182" i="16"/>
  <c r="O182" i="16" s="1"/>
  <c r="U181" i="16"/>
  <c r="T181" i="16"/>
  <c r="P181" i="16"/>
  <c r="O181" i="16"/>
  <c r="U180" i="16"/>
  <c r="S180" i="16"/>
  <c r="R180" i="16"/>
  <c r="Q180" i="16"/>
  <c r="T180" i="16" s="1"/>
  <c r="S179" i="16"/>
  <c r="S177" i="16" s="1"/>
  <c r="R179" i="16"/>
  <c r="U179" i="16" s="1"/>
  <c r="Q179" i="16"/>
  <c r="N179" i="16"/>
  <c r="M179" i="16"/>
  <c r="L179" i="16"/>
  <c r="U178" i="16"/>
  <c r="T178" i="16"/>
  <c r="P178" i="16"/>
  <c r="O178" i="16"/>
  <c r="S175" i="16"/>
  <c r="R175" i="16"/>
  <c r="Q175" i="16"/>
  <c r="T175" i="16" s="1"/>
  <c r="N175" i="16"/>
  <c r="M175" i="16"/>
  <c r="L175" i="16"/>
  <c r="J173" i="16"/>
  <c r="I168" i="16"/>
  <c r="I169" i="16" s="1"/>
  <c r="K169" i="16" s="1"/>
  <c r="U166" i="16"/>
  <c r="T166" i="16"/>
  <c r="N166" i="16"/>
  <c r="N164" i="16" s="1"/>
  <c r="M166" i="16"/>
  <c r="L166" i="16"/>
  <c r="U165" i="16"/>
  <c r="T165" i="16"/>
  <c r="P165" i="16"/>
  <c r="O165" i="16"/>
  <c r="S164" i="16"/>
  <c r="R164" i="16"/>
  <c r="U164" i="16" s="1"/>
  <c r="Q164" i="16"/>
  <c r="T164" i="16" s="1"/>
  <c r="S163" i="16"/>
  <c r="R163" i="16"/>
  <c r="Q161" i="16"/>
  <c r="T161" i="16" s="1"/>
  <c r="N163" i="16"/>
  <c r="M163" i="16"/>
  <c r="L163" i="16"/>
  <c r="L161" i="16" s="1"/>
  <c r="U162" i="16"/>
  <c r="T162" i="16"/>
  <c r="P162" i="16"/>
  <c r="O162" i="16"/>
  <c r="S159" i="16"/>
  <c r="R159" i="16"/>
  <c r="U159" i="16" s="1"/>
  <c r="Q159" i="16"/>
  <c r="T159" i="16" s="1"/>
  <c r="N159" i="16"/>
  <c r="M159" i="16"/>
  <c r="L159" i="16"/>
  <c r="O159" i="16" s="1"/>
  <c r="J157" i="16"/>
  <c r="I155" i="16"/>
  <c r="K155" i="16" s="1"/>
  <c r="I154" i="16"/>
  <c r="K154" i="16" s="1"/>
  <c r="I153" i="16"/>
  <c r="K153" i="16" s="1"/>
  <c r="I152" i="16"/>
  <c r="K152" i="16" s="1"/>
  <c r="I151" i="16"/>
  <c r="K151" i="16" s="1"/>
  <c r="U148" i="16"/>
  <c r="T148" i="16"/>
  <c r="N148" i="16"/>
  <c r="N146" i="16" s="1"/>
  <c r="M148" i="16"/>
  <c r="P148" i="16" s="1"/>
  <c r="L148" i="16"/>
  <c r="O148" i="16" s="1"/>
  <c r="U147" i="16"/>
  <c r="T147" i="16"/>
  <c r="P147" i="16"/>
  <c r="O147" i="16"/>
  <c r="U146" i="16"/>
  <c r="S146" i="16"/>
  <c r="R146" i="16"/>
  <c r="Q146" i="16"/>
  <c r="T146" i="16" s="1"/>
  <c r="S145" i="16"/>
  <c r="S142" i="16" s="1"/>
  <c r="R145" i="16"/>
  <c r="U145" i="16" s="1"/>
  <c r="Q145" i="16"/>
  <c r="Q143" i="16" s="1"/>
  <c r="T143" i="16" s="1"/>
  <c r="N145" i="16"/>
  <c r="M145" i="16"/>
  <c r="P145" i="16" s="1"/>
  <c r="L145" i="16"/>
  <c r="U144" i="16"/>
  <c r="T144" i="16"/>
  <c r="P144" i="16"/>
  <c r="O144" i="16"/>
  <c r="U141" i="16"/>
  <c r="S141" i="16"/>
  <c r="R141" i="16"/>
  <c r="Q141" i="16"/>
  <c r="T141" i="16" s="1"/>
  <c r="N141" i="16"/>
  <c r="M141" i="16"/>
  <c r="P141" i="16" s="1"/>
  <c r="L141" i="16"/>
  <c r="J139" i="16"/>
  <c r="J138" i="16"/>
  <c r="J137" i="16"/>
  <c r="I131" i="16"/>
  <c r="K131" i="16" s="1"/>
  <c r="I130" i="16"/>
  <c r="K130" i="16" s="1"/>
  <c r="I129" i="16"/>
  <c r="K129" i="16" s="1"/>
  <c r="I128" i="16"/>
  <c r="K128" i="16" s="1"/>
  <c r="U126" i="16"/>
  <c r="T126" i="16"/>
  <c r="N126" i="16"/>
  <c r="N124" i="16" s="1"/>
  <c r="M126" i="16"/>
  <c r="P126" i="16" s="1"/>
  <c r="L126" i="16"/>
  <c r="L124" i="16" s="1"/>
  <c r="O124" i="16" s="1"/>
  <c r="U125" i="16"/>
  <c r="T125" i="16"/>
  <c r="P125" i="16"/>
  <c r="O125" i="16"/>
  <c r="U124" i="16"/>
  <c r="S124" i="16"/>
  <c r="R124" i="16"/>
  <c r="Q124" i="16"/>
  <c r="T124" i="16" s="1"/>
  <c r="S123" i="16"/>
  <c r="R123" i="16"/>
  <c r="R121" i="16" s="1"/>
  <c r="Q123" i="16"/>
  <c r="N123" i="16"/>
  <c r="N121" i="16" s="1"/>
  <c r="M123" i="16"/>
  <c r="P123" i="16" s="1"/>
  <c r="L123" i="16"/>
  <c r="U122" i="16"/>
  <c r="T122" i="16"/>
  <c r="P122" i="16"/>
  <c r="O122" i="16"/>
  <c r="U119" i="16"/>
  <c r="S119" i="16"/>
  <c r="R119" i="16"/>
  <c r="Q119" i="16"/>
  <c r="T119" i="16" s="1"/>
  <c r="O119" i="16"/>
  <c r="N119" i="16"/>
  <c r="M119" i="16"/>
  <c r="P119" i="16" s="1"/>
  <c r="L119" i="16"/>
  <c r="J117" i="16"/>
  <c r="I115" i="16"/>
  <c r="K115" i="16" s="1"/>
  <c r="I110" i="16"/>
  <c r="K110" i="16" s="1"/>
  <c r="I109" i="16"/>
  <c r="K109" i="16" s="1"/>
  <c r="U103" i="16"/>
  <c r="T103" i="16"/>
  <c r="N103" i="16"/>
  <c r="N101" i="16" s="1"/>
  <c r="M103" i="16"/>
  <c r="P103" i="16" s="1"/>
  <c r="L103" i="16"/>
  <c r="L101" i="16" s="1"/>
  <c r="O101" i="16" s="1"/>
  <c r="U102" i="16"/>
  <c r="T102" i="16"/>
  <c r="P102" i="16"/>
  <c r="O102" i="16"/>
  <c r="U101" i="16"/>
  <c r="S101" i="16"/>
  <c r="R101" i="16"/>
  <c r="Q101" i="16"/>
  <c r="T101" i="16" s="1"/>
  <c r="S100" i="16"/>
  <c r="S98" i="16" s="1"/>
  <c r="R100" i="16"/>
  <c r="U100" i="16" s="1"/>
  <c r="N100" i="16"/>
  <c r="N98" i="16" s="1"/>
  <c r="M100" i="16"/>
  <c r="P100" i="16" s="1"/>
  <c r="L100" i="16"/>
  <c r="O100" i="16" s="1"/>
  <c r="U99" i="16"/>
  <c r="T99" i="16"/>
  <c r="P99" i="16"/>
  <c r="O99" i="16"/>
  <c r="S96" i="16"/>
  <c r="R96" i="16"/>
  <c r="U96" i="16" s="1"/>
  <c r="Q96" i="16"/>
  <c r="T96" i="16" s="1"/>
  <c r="N96" i="16"/>
  <c r="M96" i="16"/>
  <c r="P96" i="16" s="1"/>
  <c r="L96" i="16"/>
  <c r="O96" i="16" s="1"/>
  <c r="J94" i="16"/>
  <c r="J93" i="16"/>
  <c r="I91" i="16"/>
  <c r="K91" i="16" s="1"/>
  <c r="I90" i="16"/>
  <c r="I89" i="16"/>
  <c r="K89" i="16" s="1"/>
  <c r="I88" i="16"/>
  <c r="K88" i="16" s="1"/>
  <c r="I87" i="16"/>
  <c r="I86" i="16"/>
  <c r="K86" i="16" s="1"/>
  <c r="I85" i="16"/>
  <c r="K85" i="16" s="1"/>
  <c r="J84" i="16"/>
  <c r="J72" i="16" s="1"/>
  <c r="J83" i="16"/>
  <c r="U81" i="16"/>
  <c r="T81" i="16"/>
  <c r="N81" i="16"/>
  <c r="N79" i="16" s="1"/>
  <c r="M81" i="16"/>
  <c r="P81" i="16" s="1"/>
  <c r="L81" i="16"/>
  <c r="U80" i="16"/>
  <c r="T80" i="16"/>
  <c r="P80" i="16"/>
  <c r="O80" i="16"/>
  <c r="S79" i="16"/>
  <c r="R79" i="16"/>
  <c r="U79" i="16" s="1"/>
  <c r="Q79" i="16"/>
  <c r="T79" i="16" s="1"/>
  <c r="S78" i="16"/>
  <c r="S76" i="16" s="1"/>
  <c r="R78" i="16"/>
  <c r="R75" i="16" s="1"/>
  <c r="Q78" i="16"/>
  <c r="N78" i="16"/>
  <c r="N76" i="16" s="1"/>
  <c r="M78" i="16"/>
  <c r="L78" i="16"/>
  <c r="U77" i="16"/>
  <c r="T77" i="16"/>
  <c r="P77" i="16"/>
  <c r="O77" i="16"/>
  <c r="S74" i="16"/>
  <c r="R74" i="16"/>
  <c r="U74" i="16" s="1"/>
  <c r="Q74" i="16"/>
  <c r="T74" i="16" s="1"/>
  <c r="N74" i="16"/>
  <c r="M74" i="16"/>
  <c r="P74" i="16" s="1"/>
  <c r="L74" i="16"/>
  <c r="J71" i="16"/>
  <c r="U68" i="16"/>
  <c r="T68" i="16"/>
  <c r="N68" i="16"/>
  <c r="N66" i="16" s="1"/>
  <c r="M68" i="16"/>
  <c r="L68" i="16"/>
  <c r="L66" i="16" s="1"/>
  <c r="O66" i="16" s="1"/>
  <c r="U67" i="16"/>
  <c r="T67" i="16"/>
  <c r="P67" i="16"/>
  <c r="O67" i="16"/>
  <c r="U66" i="16"/>
  <c r="S66" i="16"/>
  <c r="R66" i="16"/>
  <c r="Q66" i="16"/>
  <c r="T66" i="16" s="1"/>
  <c r="U65" i="16"/>
  <c r="T65" i="16"/>
  <c r="N65" i="16"/>
  <c r="M65" i="16"/>
  <c r="M63" i="16" s="1"/>
  <c r="L65" i="16"/>
  <c r="L63" i="16" s="1"/>
  <c r="U64" i="16"/>
  <c r="T64" i="16"/>
  <c r="P64" i="16"/>
  <c r="O64" i="16"/>
  <c r="T63" i="16"/>
  <c r="S63" i="16"/>
  <c r="R63" i="16"/>
  <c r="U63" i="16" s="1"/>
  <c r="Q63" i="16"/>
  <c r="U62" i="16"/>
  <c r="S62" i="16"/>
  <c r="R62" i="16"/>
  <c r="Q62" i="16"/>
  <c r="T62" i="16" s="1"/>
  <c r="T61" i="16"/>
  <c r="S61" i="16"/>
  <c r="R61" i="16"/>
  <c r="U61" i="16" s="1"/>
  <c r="Q61" i="16"/>
  <c r="P61" i="16"/>
  <c r="N61" i="16"/>
  <c r="M61" i="16"/>
  <c r="L61" i="16"/>
  <c r="O61" i="16" s="1"/>
  <c r="S60" i="16"/>
  <c r="Q60" i="16"/>
  <c r="T60" i="16" s="1"/>
  <c r="U53" i="16"/>
  <c r="T53" i="16"/>
  <c r="N53" i="16"/>
  <c r="N51" i="16" s="1"/>
  <c r="M53" i="16"/>
  <c r="M51" i="16" s="1"/>
  <c r="P51" i="16" s="1"/>
  <c r="L53" i="16"/>
  <c r="U52" i="16"/>
  <c r="T52" i="16"/>
  <c r="P52" i="16"/>
  <c r="O52" i="16"/>
  <c r="U51" i="16"/>
  <c r="T51" i="16"/>
  <c r="S51" i="16"/>
  <c r="R51" i="16"/>
  <c r="Q51" i="16"/>
  <c r="U50" i="16"/>
  <c r="T50" i="16"/>
  <c r="N50" i="16"/>
  <c r="M50" i="16"/>
  <c r="M48" i="16" s="1"/>
  <c r="L50" i="16"/>
  <c r="L48" i="16" s="1"/>
  <c r="U49" i="16"/>
  <c r="T49" i="16"/>
  <c r="P49" i="16"/>
  <c r="O49" i="16"/>
  <c r="S48" i="16"/>
  <c r="R48" i="16"/>
  <c r="U48" i="16" s="1"/>
  <c r="Q48" i="16"/>
  <c r="T48" i="16" s="1"/>
  <c r="T47" i="16"/>
  <c r="S47" i="16"/>
  <c r="R47" i="16"/>
  <c r="U47" i="16" s="1"/>
  <c r="Q47" i="16"/>
  <c r="U46" i="16"/>
  <c r="T46" i="16"/>
  <c r="S46" i="16"/>
  <c r="S45" i="16" s="1"/>
  <c r="R46" i="16"/>
  <c r="Q46" i="16"/>
  <c r="O46" i="16"/>
  <c r="N46" i="16"/>
  <c r="M46" i="16"/>
  <c r="L46" i="16"/>
  <c r="T45" i="16"/>
  <c r="R45" i="16"/>
  <c r="U45" i="16" s="1"/>
  <c r="Q45" i="16"/>
  <c r="S27" i="16"/>
  <c r="R27" i="16"/>
  <c r="U27" i="16" s="1"/>
  <c r="Q27" i="16"/>
  <c r="T27" i="16" s="1"/>
  <c r="S26" i="16"/>
  <c r="R26" i="16"/>
  <c r="U26" i="16" s="1"/>
  <c r="Q26" i="16"/>
  <c r="N26" i="16"/>
  <c r="M26" i="16"/>
  <c r="P26" i="16" s="1"/>
  <c r="L26" i="16"/>
  <c r="O26" i="16" s="1"/>
  <c r="S23" i="16"/>
  <c r="R23" i="16"/>
  <c r="U23" i="16" s="1"/>
  <c r="Q23" i="16"/>
  <c r="N23" i="16"/>
  <c r="M23" i="16"/>
  <c r="P23" i="16" s="1"/>
  <c r="L23" i="16"/>
  <c r="O23" i="16" s="1"/>
  <c r="A788" i="15"/>
  <c r="J785" i="15"/>
  <c r="I785" i="15"/>
  <c r="J784" i="15"/>
  <c r="I784" i="15"/>
  <c r="J783" i="15"/>
  <c r="I783" i="15"/>
  <c r="J782" i="15"/>
  <c r="I782" i="15"/>
  <c r="J781" i="15"/>
  <c r="I781" i="15"/>
  <c r="J780" i="15"/>
  <c r="I780" i="15"/>
  <c r="J779" i="15"/>
  <c r="I779" i="15"/>
  <c r="J778" i="15"/>
  <c r="I778" i="15"/>
  <c r="H777" i="15"/>
  <c r="I776" i="15"/>
  <c r="I775" i="15"/>
  <c r="I774" i="15"/>
  <c r="K774" i="15" s="1"/>
  <c r="I772" i="15"/>
  <c r="K772" i="15" s="1"/>
  <c r="I770" i="15"/>
  <c r="K770" i="15" s="1"/>
  <c r="U768" i="15"/>
  <c r="T768" i="15"/>
  <c r="P768" i="15"/>
  <c r="O768" i="15"/>
  <c r="U767" i="15"/>
  <c r="T767" i="15"/>
  <c r="P767" i="15"/>
  <c r="O767" i="15"/>
  <c r="T766" i="15"/>
  <c r="S766" i="15"/>
  <c r="R766" i="15"/>
  <c r="U766" i="15" s="1"/>
  <c r="Q766" i="15"/>
  <c r="N766" i="15"/>
  <c r="M766" i="15"/>
  <c r="P766" i="15" s="1"/>
  <c r="L766" i="15"/>
  <c r="O766" i="15" s="1"/>
  <c r="S765" i="15"/>
  <c r="S763" i="15" s="1"/>
  <c r="R765" i="15"/>
  <c r="R763" i="15" s="1"/>
  <c r="Q765" i="15"/>
  <c r="P765" i="15"/>
  <c r="O765" i="15"/>
  <c r="U764" i="15"/>
  <c r="T764" i="15"/>
  <c r="P764" i="15"/>
  <c r="O764" i="15"/>
  <c r="P763" i="15"/>
  <c r="O763" i="15"/>
  <c r="N763" i="15"/>
  <c r="M763" i="15"/>
  <c r="L763" i="15"/>
  <c r="O762" i="15"/>
  <c r="N762" i="15"/>
  <c r="M762" i="15"/>
  <c r="P762" i="15" s="1"/>
  <c r="L762" i="15"/>
  <c r="S761" i="15"/>
  <c r="R761" i="15"/>
  <c r="Q761" i="15"/>
  <c r="T761" i="15" s="1"/>
  <c r="N761" i="15"/>
  <c r="M761" i="15"/>
  <c r="P761" i="15" s="1"/>
  <c r="L761" i="15"/>
  <c r="L760" i="15" s="1"/>
  <c r="O760" i="15" s="1"/>
  <c r="N760" i="15"/>
  <c r="J759" i="15"/>
  <c r="J758" i="15"/>
  <c r="I756" i="15"/>
  <c r="K756" i="15" s="1"/>
  <c r="I753" i="15"/>
  <c r="K753" i="15" s="1"/>
  <c r="I750" i="15"/>
  <c r="K750" i="15" s="1"/>
  <c r="I747" i="15"/>
  <c r="K747" i="15" s="1"/>
  <c r="I745" i="15"/>
  <c r="K745" i="15" s="1"/>
  <c r="I743" i="15"/>
  <c r="K743" i="15" s="1"/>
  <c r="I741" i="15"/>
  <c r="K741" i="15" s="1"/>
  <c r="U737" i="15"/>
  <c r="T737" i="15"/>
  <c r="P737" i="15"/>
  <c r="O737" i="15"/>
  <c r="U736" i="15"/>
  <c r="T736" i="15"/>
  <c r="P736" i="15"/>
  <c r="O736" i="15"/>
  <c r="S735" i="15"/>
  <c r="R735" i="15"/>
  <c r="U735" i="15" s="1"/>
  <c r="Q735" i="15"/>
  <c r="T735" i="15" s="1"/>
  <c r="N735" i="15"/>
  <c r="M735" i="15"/>
  <c r="P735" i="15" s="1"/>
  <c r="L735" i="15"/>
  <c r="O735" i="15" s="1"/>
  <c r="S734" i="15"/>
  <c r="S732" i="15" s="1"/>
  <c r="R734" i="15"/>
  <c r="Q734" i="15"/>
  <c r="Q732" i="15" s="1"/>
  <c r="P734" i="15"/>
  <c r="O734" i="15"/>
  <c r="U733" i="15"/>
  <c r="T733" i="15"/>
  <c r="P733" i="15"/>
  <c r="O733" i="15"/>
  <c r="P732" i="15"/>
  <c r="O732" i="15"/>
  <c r="N732" i="15"/>
  <c r="M732" i="15"/>
  <c r="L732" i="15"/>
  <c r="N731" i="15"/>
  <c r="N729" i="15" s="1"/>
  <c r="M731" i="15"/>
  <c r="P731" i="15" s="1"/>
  <c r="L731" i="15"/>
  <c r="O731" i="15" s="1"/>
  <c r="S730" i="15"/>
  <c r="R730" i="15"/>
  <c r="U730" i="15" s="1"/>
  <c r="Q730" i="15"/>
  <c r="P730" i="15"/>
  <c r="N730" i="15"/>
  <c r="M730" i="15"/>
  <c r="L730" i="15"/>
  <c r="O730" i="15" s="1"/>
  <c r="P729" i="15"/>
  <c r="M729" i="15"/>
  <c r="J728" i="15"/>
  <c r="I728" i="15"/>
  <c r="K728" i="15" s="1"/>
  <c r="J727" i="15"/>
  <c r="I727" i="15"/>
  <c r="U723" i="15"/>
  <c r="T723" i="15"/>
  <c r="P723" i="15"/>
  <c r="O723" i="15"/>
  <c r="U722" i="15"/>
  <c r="T722" i="15"/>
  <c r="P722" i="15"/>
  <c r="O722" i="15"/>
  <c r="U721" i="15"/>
  <c r="T721" i="15"/>
  <c r="S721" i="15"/>
  <c r="R721" i="15"/>
  <c r="Q721" i="15"/>
  <c r="P721" i="15"/>
  <c r="O721" i="15"/>
  <c r="N721" i="15"/>
  <c r="M721" i="15"/>
  <c r="L721" i="15"/>
  <c r="U720" i="15"/>
  <c r="T720" i="15"/>
  <c r="P720" i="15"/>
  <c r="O720" i="15"/>
  <c r="U719" i="15"/>
  <c r="T719" i="15"/>
  <c r="P719" i="15"/>
  <c r="O719" i="15"/>
  <c r="U718" i="15"/>
  <c r="T718" i="15"/>
  <c r="S718" i="15"/>
  <c r="R718" i="15"/>
  <c r="Q718" i="15"/>
  <c r="P718" i="15"/>
  <c r="O718" i="15"/>
  <c r="N718" i="15"/>
  <c r="M718" i="15"/>
  <c r="L718" i="15"/>
  <c r="T717" i="15"/>
  <c r="S717" i="15"/>
  <c r="R717" i="15"/>
  <c r="U717" i="15" s="1"/>
  <c r="Q717" i="15"/>
  <c r="N717" i="15"/>
  <c r="N715" i="15" s="1"/>
  <c r="M717" i="15"/>
  <c r="P717" i="15" s="1"/>
  <c r="L717" i="15"/>
  <c r="O717" i="15" s="1"/>
  <c r="S716" i="15"/>
  <c r="R716" i="15"/>
  <c r="U716" i="15" s="1"/>
  <c r="Q716" i="15"/>
  <c r="Q715" i="15" s="1"/>
  <c r="T715" i="15" s="1"/>
  <c r="P716" i="15"/>
  <c r="N716" i="15"/>
  <c r="M716" i="15"/>
  <c r="L716" i="15"/>
  <c r="O716" i="15" s="1"/>
  <c r="S715" i="15"/>
  <c r="P715" i="15"/>
  <c r="M715" i="15"/>
  <c r="K713" i="15"/>
  <c r="J713" i="15"/>
  <c r="K711" i="15"/>
  <c r="J711" i="15"/>
  <c r="J710" i="15"/>
  <c r="I710" i="15"/>
  <c r="K709" i="15"/>
  <c r="J709" i="15"/>
  <c r="J708" i="15"/>
  <c r="J690" i="15" s="1"/>
  <c r="I708" i="15"/>
  <c r="K708" i="15" s="1"/>
  <c r="K707" i="15"/>
  <c r="J707" i="15"/>
  <c r="J706" i="15"/>
  <c r="I706" i="15"/>
  <c r="K705" i="15"/>
  <c r="J705" i="15"/>
  <c r="J704" i="15"/>
  <c r="I704" i="15"/>
  <c r="K703" i="15"/>
  <c r="I701" i="15"/>
  <c r="K701" i="15" s="1"/>
  <c r="U699" i="15"/>
  <c r="T699" i="15"/>
  <c r="P699" i="15"/>
  <c r="O699" i="15"/>
  <c r="U698" i="15"/>
  <c r="T698" i="15"/>
  <c r="P698" i="15"/>
  <c r="O698" i="15"/>
  <c r="U697" i="15"/>
  <c r="T697" i="15"/>
  <c r="S697" i="15"/>
  <c r="R697" i="15"/>
  <c r="Q697" i="15"/>
  <c r="O697" i="15"/>
  <c r="N697" i="15"/>
  <c r="M697" i="15"/>
  <c r="P697" i="15" s="1"/>
  <c r="L697" i="15"/>
  <c r="S696" i="15"/>
  <c r="S694" i="15" s="1"/>
  <c r="R696" i="15"/>
  <c r="R694" i="15" s="1"/>
  <c r="Q696" i="15"/>
  <c r="P696" i="15"/>
  <c r="O696" i="15"/>
  <c r="U695" i="15"/>
  <c r="T695" i="15"/>
  <c r="P695" i="15"/>
  <c r="O695" i="15"/>
  <c r="P694" i="15"/>
  <c r="N694" i="15"/>
  <c r="M694" i="15"/>
  <c r="L694" i="15"/>
  <c r="O694" i="15" s="1"/>
  <c r="P693" i="15"/>
  <c r="O693" i="15"/>
  <c r="N693" i="15"/>
  <c r="M693" i="15"/>
  <c r="L693" i="15"/>
  <c r="T692" i="15"/>
  <c r="S692" i="15"/>
  <c r="R692" i="15"/>
  <c r="U692" i="15" s="1"/>
  <c r="Q692" i="15"/>
  <c r="N692" i="15"/>
  <c r="N691" i="15" s="1"/>
  <c r="M692" i="15"/>
  <c r="M691" i="15" s="1"/>
  <c r="P691" i="15" s="1"/>
  <c r="L692" i="15"/>
  <c r="O692" i="15" s="1"/>
  <c r="L691" i="15"/>
  <c r="O691" i="15" s="1"/>
  <c r="I690" i="15"/>
  <c r="K690" i="15" s="1"/>
  <c r="J683" i="15"/>
  <c r="I683" i="15"/>
  <c r="K683" i="15" s="1"/>
  <c r="J682" i="15"/>
  <c r="I682" i="15"/>
  <c r="J681" i="15"/>
  <c r="J680" i="15"/>
  <c r="I680" i="15"/>
  <c r="J679" i="15"/>
  <c r="I679" i="15"/>
  <c r="J678" i="15"/>
  <c r="J677" i="15"/>
  <c r="I677" i="15"/>
  <c r="I676" i="15"/>
  <c r="I675" i="15"/>
  <c r="J674" i="15"/>
  <c r="I674" i="15"/>
  <c r="J673" i="15"/>
  <c r="J672" i="15"/>
  <c r="J662" i="15"/>
  <c r="I662" i="15"/>
  <c r="I661" i="15"/>
  <c r="I658" i="15"/>
  <c r="J655" i="15"/>
  <c r="I655" i="15"/>
  <c r="K655" i="15" s="1"/>
  <c r="J654" i="15"/>
  <c r="I654" i="15"/>
  <c r="K654" i="15" s="1"/>
  <c r="J653" i="15"/>
  <c r="I653" i="15"/>
  <c r="K653" i="15" s="1"/>
  <c r="U651" i="15"/>
  <c r="T651" i="15"/>
  <c r="P651" i="15"/>
  <c r="O651" i="15"/>
  <c r="U650" i="15"/>
  <c r="T650" i="15"/>
  <c r="P650" i="15"/>
  <c r="O650" i="15"/>
  <c r="U649" i="15"/>
  <c r="T649" i="15"/>
  <c r="S649" i="15"/>
  <c r="R649" i="15"/>
  <c r="Q649" i="15"/>
  <c r="O649" i="15"/>
  <c r="N649" i="15"/>
  <c r="M649" i="15"/>
  <c r="P649" i="15" s="1"/>
  <c r="L649" i="15"/>
  <c r="S648" i="15"/>
  <c r="S646" i="15" s="1"/>
  <c r="R648" i="15"/>
  <c r="R646" i="15" s="1"/>
  <c r="Q648" i="15"/>
  <c r="Q646" i="15" s="1"/>
  <c r="P648" i="15"/>
  <c r="O648" i="15"/>
  <c r="U647" i="15"/>
  <c r="T647" i="15"/>
  <c r="P647" i="15"/>
  <c r="O647" i="15"/>
  <c r="P646" i="15"/>
  <c r="N646" i="15"/>
  <c r="M646" i="15"/>
  <c r="L646" i="15"/>
  <c r="O646" i="15" s="1"/>
  <c r="P645" i="15"/>
  <c r="O645" i="15"/>
  <c r="N645" i="15"/>
  <c r="M645" i="15"/>
  <c r="L645" i="15"/>
  <c r="T644" i="15"/>
  <c r="S644" i="15"/>
  <c r="R644" i="15"/>
  <c r="U644" i="15" s="1"/>
  <c r="Q644" i="15"/>
  <c r="N644" i="15"/>
  <c r="N643" i="15" s="1"/>
  <c r="M644" i="15"/>
  <c r="M643" i="15" s="1"/>
  <c r="P643" i="15" s="1"/>
  <c r="L644" i="15"/>
  <c r="O644" i="15" s="1"/>
  <c r="L643" i="15"/>
  <c r="O643" i="15" s="1"/>
  <c r="J637" i="15"/>
  <c r="J636" i="15"/>
  <c r="I636" i="15"/>
  <c r="K636" i="15" s="1"/>
  <c r="J633" i="15"/>
  <c r="I629" i="15"/>
  <c r="K629" i="15" s="1"/>
  <c r="I628" i="15"/>
  <c r="K628" i="15" s="1"/>
  <c r="I627" i="15"/>
  <c r="K632" i="15" s="1"/>
  <c r="U625" i="15"/>
  <c r="T625" i="15"/>
  <c r="P625" i="15"/>
  <c r="O625" i="15"/>
  <c r="U624" i="15"/>
  <c r="T624" i="15"/>
  <c r="P624" i="15"/>
  <c r="O624" i="15"/>
  <c r="U623" i="15"/>
  <c r="T623" i="15"/>
  <c r="S623" i="15"/>
  <c r="R623" i="15"/>
  <c r="Q623" i="15"/>
  <c r="P623" i="15"/>
  <c r="O623" i="15"/>
  <c r="N623" i="15"/>
  <c r="M623" i="15"/>
  <c r="L623" i="15"/>
  <c r="S622" i="15"/>
  <c r="R622" i="15"/>
  <c r="R620" i="15" s="1"/>
  <c r="Q622" i="15"/>
  <c r="Q620" i="15" s="1"/>
  <c r="P622" i="15"/>
  <c r="O622" i="15"/>
  <c r="U621" i="15"/>
  <c r="T621" i="15"/>
  <c r="P621" i="15"/>
  <c r="O621" i="15"/>
  <c r="N620" i="15"/>
  <c r="M620" i="15"/>
  <c r="P620" i="15" s="1"/>
  <c r="L620" i="15"/>
  <c r="O620" i="15" s="1"/>
  <c r="P619" i="15"/>
  <c r="O619" i="15"/>
  <c r="N619" i="15"/>
  <c r="M619" i="15"/>
  <c r="L619" i="15"/>
  <c r="U618" i="15"/>
  <c r="T618" i="15"/>
  <c r="S618" i="15"/>
  <c r="R618" i="15"/>
  <c r="Q618" i="15"/>
  <c r="O618" i="15"/>
  <c r="N618" i="15"/>
  <c r="N617" i="15" s="1"/>
  <c r="M618" i="15"/>
  <c r="P618" i="15" s="1"/>
  <c r="L618" i="15"/>
  <c r="L617" i="15" s="1"/>
  <c r="O617" i="15" s="1"/>
  <c r="M617" i="15"/>
  <c r="P617" i="15" s="1"/>
  <c r="U608" i="15"/>
  <c r="T608" i="15"/>
  <c r="P608" i="15"/>
  <c r="O608" i="15"/>
  <c r="U607" i="15"/>
  <c r="T607" i="15"/>
  <c r="P607" i="15"/>
  <c r="O607" i="15"/>
  <c r="U606" i="15"/>
  <c r="T606" i="15"/>
  <c r="S606" i="15"/>
  <c r="R606" i="15"/>
  <c r="Q606" i="15"/>
  <c r="P606" i="15"/>
  <c r="O606" i="15"/>
  <c r="N606" i="15"/>
  <c r="M606" i="15"/>
  <c r="L606" i="15"/>
  <c r="U605" i="15"/>
  <c r="T605" i="15"/>
  <c r="P605" i="15"/>
  <c r="O605" i="15"/>
  <c r="U604" i="15"/>
  <c r="T604" i="15"/>
  <c r="P604" i="15"/>
  <c r="O604" i="15"/>
  <c r="U603" i="15"/>
  <c r="T603" i="15"/>
  <c r="S603" i="15"/>
  <c r="R603" i="15"/>
  <c r="Q603" i="15"/>
  <c r="P603" i="15"/>
  <c r="O603" i="15"/>
  <c r="N603" i="15"/>
  <c r="M603" i="15"/>
  <c r="L603" i="15"/>
  <c r="T602" i="15"/>
  <c r="S602" i="15"/>
  <c r="R602" i="15"/>
  <c r="U602" i="15" s="1"/>
  <c r="Q602" i="15"/>
  <c r="N602" i="15"/>
  <c r="N600" i="15" s="1"/>
  <c r="M602" i="15"/>
  <c r="P602" i="15" s="1"/>
  <c r="L602" i="15"/>
  <c r="O602" i="15" s="1"/>
  <c r="S601" i="15"/>
  <c r="R601" i="15"/>
  <c r="U601" i="15" s="1"/>
  <c r="Q601" i="15"/>
  <c r="Q600" i="15" s="1"/>
  <c r="T600" i="15" s="1"/>
  <c r="P601" i="15"/>
  <c r="N601" i="15"/>
  <c r="M601" i="15"/>
  <c r="L601" i="15"/>
  <c r="O601" i="15" s="1"/>
  <c r="S600" i="15"/>
  <c r="P600" i="15"/>
  <c r="M600" i="15"/>
  <c r="U585" i="15"/>
  <c r="T585" i="15"/>
  <c r="P585" i="15"/>
  <c r="O585" i="15"/>
  <c r="U584" i="15"/>
  <c r="T584" i="15"/>
  <c r="P584" i="15"/>
  <c r="O584" i="15"/>
  <c r="U583" i="15"/>
  <c r="T583" i="15"/>
  <c r="S583" i="15"/>
  <c r="R583" i="15"/>
  <c r="Q583" i="15"/>
  <c r="P583" i="15"/>
  <c r="O583" i="15"/>
  <c r="N583" i="15"/>
  <c r="M583" i="15"/>
  <c r="L583" i="15"/>
  <c r="U582" i="15"/>
  <c r="T582" i="15"/>
  <c r="P582" i="15"/>
  <c r="O582" i="15"/>
  <c r="U581" i="15"/>
  <c r="T581" i="15"/>
  <c r="P581" i="15"/>
  <c r="O581" i="15"/>
  <c r="U580" i="15"/>
  <c r="T580" i="15"/>
  <c r="S580" i="15"/>
  <c r="R580" i="15"/>
  <c r="Q580" i="15"/>
  <c r="P580" i="15"/>
  <c r="O580" i="15"/>
  <c r="N580" i="15"/>
  <c r="M580" i="15"/>
  <c r="L580" i="15"/>
  <c r="T579" i="15"/>
  <c r="S579" i="15"/>
  <c r="R579" i="15"/>
  <c r="U579" i="15" s="1"/>
  <c r="Q579" i="15"/>
  <c r="N579" i="15"/>
  <c r="M579" i="15"/>
  <c r="P579" i="15" s="1"/>
  <c r="L579" i="15"/>
  <c r="O579" i="15" s="1"/>
  <c r="S578" i="15"/>
  <c r="R578" i="15"/>
  <c r="U578" i="15" s="1"/>
  <c r="Q578" i="15"/>
  <c r="Q577" i="15" s="1"/>
  <c r="T577" i="15" s="1"/>
  <c r="P578" i="15"/>
  <c r="N578" i="15"/>
  <c r="M578" i="15"/>
  <c r="L578" i="15"/>
  <c r="O578" i="15" s="1"/>
  <c r="S577" i="15"/>
  <c r="P577" i="15"/>
  <c r="N577" i="15"/>
  <c r="M577" i="15"/>
  <c r="J576" i="15"/>
  <c r="I576" i="15"/>
  <c r="K576" i="15" s="1"/>
  <c r="U564" i="15"/>
  <c r="T564" i="15"/>
  <c r="P564" i="15"/>
  <c r="O564" i="15"/>
  <c r="U563" i="15"/>
  <c r="T563" i="15"/>
  <c r="P563" i="15"/>
  <c r="O563" i="15"/>
  <c r="S562" i="15"/>
  <c r="R562" i="15"/>
  <c r="U562" i="15" s="1"/>
  <c r="Q562" i="15"/>
  <c r="T562" i="15" s="1"/>
  <c r="N562" i="15"/>
  <c r="M562" i="15"/>
  <c r="P562" i="15" s="1"/>
  <c r="L562" i="15"/>
  <c r="O562" i="15" s="1"/>
  <c r="U561" i="15"/>
  <c r="T561" i="15"/>
  <c r="P561" i="15"/>
  <c r="O561" i="15"/>
  <c r="U560" i="15"/>
  <c r="T560" i="15"/>
  <c r="P560" i="15"/>
  <c r="O560" i="15"/>
  <c r="S559" i="15"/>
  <c r="R559" i="15"/>
  <c r="U559" i="15" s="1"/>
  <c r="Q559" i="15"/>
  <c r="T559" i="15" s="1"/>
  <c r="N559" i="15"/>
  <c r="M559" i="15"/>
  <c r="P559" i="15" s="1"/>
  <c r="L559" i="15"/>
  <c r="O559" i="15" s="1"/>
  <c r="U558" i="15"/>
  <c r="S558" i="15"/>
  <c r="R558" i="15"/>
  <c r="Q558" i="15"/>
  <c r="T558" i="15" s="1"/>
  <c r="P558" i="15"/>
  <c r="O558" i="15"/>
  <c r="N558" i="15"/>
  <c r="M558" i="15"/>
  <c r="L558" i="15"/>
  <c r="T557" i="15"/>
  <c r="S557" i="15"/>
  <c r="R557" i="15"/>
  <c r="U557" i="15" s="1"/>
  <c r="Q557" i="15"/>
  <c r="O557" i="15"/>
  <c r="N557" i="15"/>
  <c r="N556" i="15" s="1"/>
  <c r="M557" i="15"/>
  <c r="P557" i="15" s="1"/>
  <c r="L557" i="15"/>
  <c r="S556" i="15"/>
  <c r="R556" i="15"/>
  <c r="U556" i="15" s="1"/>
  <c r="Q556" i="15"/>
  <c r="T556" i="15" s="1"/>
  <c r="M556" i="15"/>
  <c r="P556" i="15" s="1"/>
  <c r="L556" i="15"/>
  <c r="O556" i="15" s="1"/>
  <c r="K555" i="15"/>
  <c r="J555" i="15"/>
  <c r="I555" i="15"/>
  <c r="U543" i="15"/>
  <c r="T543" i="15"/>
  <c r="P543" i="15"/>
  <c r="O543" i="15"/>
  <c r="U542" i="15"/>
  <c r="T542" i="15"/>
  <c r="P542" i="15"/>
  <c r="O542" i="15"/>
  <c r="U541" i="15"/>
  <c r="S541" i="15"/>
  <c r="R541" i="15"/>
  <c r="Q541" i="15"/>
  <c r="T541" i="15" s="1"/>
  <c r="P541" i="15"/>
  <c r="O541" i="15"/>
  <c r="N541" i="15"/>
  <c r="M541" i="15"/>
  <c r="L541" i="15"/>
  <c r="U540" i="15"/>
  <c r="T540" i="15"/>
  <c r="P540" i="15"/>
  <c r="O540" i="15"/>
  <c r="U539" i="15"/>
  <c r="T539" i="15"/>
  <c r="P539" i="15"/>
  <c r="O539" i="15"/>
  <c r="U538" i="15"/>
  <c r="S538" i="15"/>
  <c r="R538" i="15"/>
  <c r="Q538" i="15"/>
  <c r="T538" i="15" s="1"/>
  <c r="P538" i="15"/>
  <c r="O538" i="15"/>
  <c r="N538" i="15"/>
  <c r="M538" i="15"/>
  <c r="L538" i="15"/>
  <c r="T537" i="15"/>
  <c r="S537" i="15"/>
  <c r="R537" i="15"/>
  <c r="U537" i="15" s="1"/>
  <c r="Q537" i="15"/>
  <c r="N537" i="15"/>
  <c r="M537" i="15"/>
  <c r="P537" i="15" s="1"/>
  <c r="L537" i="15"/>
  <c r="O537" i="15" s="1"/>
  <c r="S536" i="15"/>
  <c r="R536" i="15"/>
  <c r="U536" i="15" s="1"/>
  <c r="Q536" i="15"/>
  <c r="T536" i="15" s="1"/>
  <c r="N536" i="15"/>
  <c r="M536" i="15"/>
  <c r="P536" i="15" s="1"/>
  <c r="L536" i="15"/>
  <c r="O536" i="15" s="1"/>
  <c r="S535" i="15"/>
  <c r="R535" i="15"/>
  <c r="U535" i="15" s="1"/>
  <c r="Q535" i="15"/>
  <c r="T535" i="15" s="1"/>
  <c r="N535" i="15"/>
  <c r="M535" i="15"/>
  <c r="P535" i="15" s="1"/>
  <c r="L535" i="15"/>
  <c r="O535" i="15" s="1"/>
  <c r="K534" i="15"/>
  <c r="J534" i="15"/>
  <c r="I534" i="15"/>
  <c r="K525" i="15"/>
  <c r="K524" i="15"/>
  <c r="U522" i="15"/>
  <c r="T522" i="15"/>
  <c r="N522" i="15"/>
  <c r="N520" i="15" s="1"/>
  <c r="M522" i="15"/>
  <c r="P522" i="15" s="1"/>
  <c r="L522" i="15"/>
  <c r="O522" i="15" s="1"/>
  <c r="U521" i="15"/>
  <c r="T521" i="15"/>
  <c r="P521" i="15"/>
  <c r="O521" i="15"/>
  <c r="U520" i="15"/>
  <c r="T520" i="15"/>
  <c r="S520" i="15"/>
  <c r="R520" i="15"/>
  <c r="Q520" i="15"/>
  <c r="U519" i="15"/>
  <c r="T519" i="15"/>
  <c r="N519" i="15"/>
  <c r="N517" i="15" s="1"/>
  <c r="M519" i="15"/>
  <c r="M517" i="15" s="1"/>
  <c r="P517" i="15" s="1"/>
  <c r="L519" i="15"/>
  <c r="U518" i="15"/>
  <c r="T518" i="15"/>
  <c r="P518" i="15"/>
  <c r="O518" i="15"/>
  <c r="S517" i="15"/>
  <c r="R517" i="15"/>
  <c r="U517" i="15" s="1"/>
  <c r="Q517" i="15"/>
  <c r="T517" i="15" s="1"/>
  <c r="U516" i="15"/>
  <c r="T516" i="15"/>
  <c r="S516" i="15"/>
  <c r="R516" i="15"/>
  <c r="Q516" i="15"/>
  <c r="T515" i="15"/>
  <c r="S515" i="15"/>
  <c r="S514" i="15" s="1"/>
  <c r="R515" i="15"/>
  <c r="U515" i="15" s="1"/>
  <c r="Q515" i="15"/>
  <c r="N515" i="15"/>
  <c r="M515" i="15"/>
  <c r="P515" i="15" s="1"/>
  <c r="L515" i="15"/>
  <c r="O515" i="15" s="1"/>
  <c r="R514" i="15"/>
  <c r="U514" i="15" s="1"/>
  <c r="Q514" i="15"/>
  <c r="T514" i="15" s="1"/>
  <c r="K513" i="15"/>
  <c r="J513" i="15"/>
  <c r="I513" i="15"/>
  <c r="I510" i="15"/>
  <c r="K510" i="15" s="1"/>
  <c r="K509" i="15"/>
  <c r="I508" i="15"/>
  <c r="K508" i="15" s="1"/>
  <c r="I507" i="15"/>
  <c r="K507" i="15" s="1"/>
  <c r="I506" i="15"/>
  <c r="K506" i="15" s="1"/>
  <c r="I505" i="15"/>
  <c r="I504" i="15"/>
  <c r="U502" i="15"/>
  <c r="T502" i="15"/>
  <c r="P502" i="15"/>
  <c r="O502" i="15"/>
  <c r="U501" i="15"/>
  <c r="T501" i="15"/>
  <c r="P501" i="15"/>
  <c r="O501" i="15"/>
  <c r="S500" i="15"/>
  <c r="R500" i="15"/>
  <c r="U500" i="15" s="1"/>
  <c r="Q500" i="15"/>
  <c r="T500" i="15" s="1"/>
  <c r="P500" i="15"/>
  <c r="N500" i="15"/>
  <c r="M500" i="15"/>
  <c r="L500" i="15"/>
  <c r="O500" i="15" s="1"/>
  <c r="S499" i="15"/>
  <c r="R499" i="15"/>
  <c r="Q499" i="15"/>
  <c r="P499" i="15"/>
  <c r="O499" i="15"/>
  <c r="U498" i="15"/>
  <c r="T498" i="15"/>
  <c r="P498" i="15"/>
  <c r="O498" i="15"/>
  <c r="O497" i="15"/>
  <c r="N497" i="15"/>
  <c r="M497" i="15"/>
  <c r="P497" i="15" s="1"/>
  <c r="L497" i="15"/>
  <c r="N496" i="15"/>
  <c r="M496" i="15"/>
  <c r="P496" i="15" s="1"/>
  <c r="L496" i="15"/>
  <c r="O496" i="15" s="1"/>
  <c r="U495" i="15"/>
  <c r="S495" i="15"/>
  <c r="R495" i="15"/>
  <c r="Q495" i="15"/>
  <c r="T495" i="15" s="1"/>
  <c r="P495" i="15"/>
  <c r="O495" i="15"/>
  <c r="N495" i="15"/>
  <c r="M495" i="15"/>
  <c r="L495" i="15"/>
  <c r="O494" i="15"/>
  <c r="N494" i="15"/>
  <c r="M494" i="15"/>
  <c r="P494" i="15" s="1"/>
  <c r="L494" i="15"/>
  <c r="K486" i="15"/>
  <c r="J486" i="15"/>
  <c r="I486" i="15"/>
  <c r="J485" i="15"/>
  <c r="I485" i="15"/>
  <c r="K485" i="15" s="1"/>
  <c r="J484" i="15"/>
  <c r="J483" i="15"/>
  <c r="K478" i="15"/>
  <c r="J478" i="15"/>
  <c r="K477" i="15"/>
  <c r="J477" i="15"/>
  <c r="K476" i="15"/>
  <c r="J476" i="15"/>
  <c r="J469" i="15"/>
  <c r="J468" i="15"/>
  <c r="J461" i="15"/>
  <c r="J460" i="15"/>
  <c r="J458" i="15" s="1"/>
  <c r="J457" i="15" s="1"/>
  <c r="J459" i="15"/>
  <c r="I459" i="15"/>
  <c r="K459" i="15" s="1"/>
  <c r="I458" i="15"/>
  <c r="I457" i="15" s="1"/>
  <c r="K457" i="15" s="1"/>
  <c r="J448" i="15"/>
  <c r="J447" i="15"/>
  <c r="J442" i="15"/>
  <c r="I442" i="15"/>
  <c r="K442" i="15" s="1"/>
  <c r="J441" i="15"/>
  <c r="I441" i="15"/>
  <c r="J434" i="15"/>
  <c r="I434" i="15"/>
  <c r="K434" i="15" s="1"/>
  <c r="J433" i="15"/>
  <c r="I433" i="15"/>
  <c r="K433" i="15" s="1"/>
  <c r="J426" i="15"/>
  <c r="I426" i="15"/>
  <c r="K426" i="15" s="1"/>
  <c r="J425" i="15"/>
  <c r="I425" i="15"/>
  <c r="K425" i="15" s="1"/>
  <c r="J424" i="15"/>
  <c r="U422" i="15"/>
  <c r="T422" i="15"/>
  <c r="P422" i="15"/>
  <c r="O422" i="15"/>
  <c r="U421" i="15"/>
  <c r="T421" i="15"/>
  <c r="P421" i="15"/>
  <c r="O421" i="15"/>
  <c r="S420" i="15"/>
  <c r="R420" i="15"/>
  <c r="U420" i="15" s="1"/>
  <c r="Q420" i="15"/>
  <c r="T420" i="15" s="1"/>
  <c r="N420" i="15"/>
  <c r="M420" i="15"/>
  <c r="P420" i="15" s="1"/>
  <c r="L420" i="15"/>
  <c r="O420" i="15" s="1"/>
  <c r="S419" i="15"/>
  <c r="R419" i="15"/>
  <c r="R416" i="15" s="1"/>
  <c r="U416" i="15" s="1"/>
  <c r="Q419" i="15"/>
  <c r="T419" i="15" s="1"/>
  <c r="P419" i="15"/>
  <c r="O419" i="15"/>
  <c r="U418" i="15"/>
  <c r="T418" i="15"/>
  <c r="P418" i="15"/>
  <c r="O418" i="15"/>
  <c r="P417" i="15"/>
  <c r="O417" i="15"/>
  <c r="N417" i="15"/>
  <c r="M417" i="15"/>
  <c r="L417" i="15"/>
  <c r="N416" i="15"/>
  <c r="M416" i="15"/>
  <c r="L416" i="15"/>
  <c r="O416" i="15" s="1"/>
  <c r="S415" i="15"/>
  <c r="R415" i="15"/>
  <c r="U415" i="15" s="1"/>
  <c r="Q415" i="15"/>
  <c r="P415" i="15"/>
  <c r="N415" i="15"/>
  <c r="M415" i="15"/>
  <c r="L415" i="15"/>
  <c r="O415" i="15" s="1"/>
  <c r="N414" i="15"/>
  <c r="J413" i="15"/>
  <c r="U401" i="15"/>
  <c r="T401" i="15"/>
  <c r="P401" i="15"/>
  <c r="O401" i="15"/>
  <c r="U400" i="15"/>
  <c r="T400" i="15"/>
  <c r="P400" i="15"/>
  <c r="O400" i="15"/>
  <c r="S399" i="15"/>
  <c r="R399" i="15"/>
  <c r="U399" i="15" s="1"/>
  <c r="Q399" i="15"/>
  <c r="T399" i="15" s="1"/>
  <c r="N399" i="15"/>
  <c r="M399" i="15"/>
  <c r="P399" i="15" s="1"/>
  <c r="L399" i="15"/>
  <c r="O399" i="15" s="1"/>
  <c r="U398" i="15"/>
  <c r="T398" i="15"/>
  <c r="P398" i="15"/>
  <c r="O398" i="15"/>
  <c r="U397" i="15"/>
  <c r="T397" i="15"/>
  <c r="P397" i="15"/>
  <c r="O397" i="15"/>
  <c r="S396" i="15"/>
  <c r="R396" i="15"/>
  <c r="U396" i="15" s="1"/>
  <c r="Q396" i="15"/>
  <c r="T396" i="15" s="1"/>
  <c r="P396" i="15"/>
  <c r="N396" i="15"/>
  <c r="M396" i="15"/>
  <c r="L396" i="15"/>
  <c r="O396" i="15" s="1"/>
  <c r="T395" i="15"/>
  <c r="S395" i="15"/>
  <c r="R395" i="15"/>
  <c r="U395" i="15" s="1"/>
  <c r="Q395" i="15"/>
  <c r="P395" i="15"/>
  <c r="N395" i="15"/>
  <c r="M395" i="15"/>
  <c r="L395" i="15"/>
  <c r="O395" i="15" s="1"/>
  <c r="T394" i="15"/>
  <c r="S394" i="15"/>
  <c r="R394" i="15"/>
  <c r="U394" i="15" s="1"/>
  <c r="Q394" i="15"/>
  <c r="P394" i="15"/>
  <c r="N394" i="15"/>
  <c r="N393" i="15" s="1"/>
  <c r="M394" i="15"/>
  <c r="L394" i="15"/>
  <c r="O394" i="15" s="1"/>
  <c r="S393" i="15"/>
  <c r="R393" i="15"/>
  <c r="U393" i="15" s="1"/>
  <c r="Q393" i="15"/>
  <c r="T393" i="15" s="1"/>
  <c r="M393" i="15"/>
  <c r="P393" i="15" s="1"/>
  <c r="L393" i="15"/>
  <c r="O393" i="15" s="1"/>
  <c r="J392" i="15"/>
  <c r="I392" i="15"/>
  <c r="K392" i="15" s="1"/>
  <c r="J389" i="15"/>
  <c r="I389" i="15"/>
  <c r="K388" i="15"/>
  <c r="J388" i="15"/>
  <c r="J387" i="15"/>
  <c r="I387" i="15"/>
  <c r="K386" i="15"/>
  <c r="J386" i="15"/>
  <c r="U384" i="15"/>
  <c r="T384" i="15"/>
  <c r="P384" i="15"/>
  <c r="O384" i="15"/>
  <c r="U383" i="15"/>
  <c r="T383" i="15"/>
  <c r="P383" i="15"/>
  <c r="O383" i="15"/>
  <c r="S382" i="15"/>
  <c r="R382" i="15"/>
  <c r="U382" i="15" s="1"/>
  <c r="Q382" i="15"/>
  <c r="T382" i="15" s="1"/>
  <c r="O382" i="15"/>
  <c r="N382" i="15"/>
  <c r="M382" i="15"/>
  <c r="P382" i="15" s="1"/>
  <c r="L382" i="15"/>
  <c r="S381" i="15"/>
  <c r="S379" i="15" s="1"/>
  <c r="R381" i="15"/>
  <c r="U381" i="15" s="1"/>
  <c r="Q381" i="15"/>
  <c r="P381" i="15"/>
  <c r="O381" i="15"/>
  <c r="U380" i="15"/>
  <c r="T380" i="15"/>
  <c r="P380" i="15"/>
  <c r="O380" i="15"/>
  <c r="P379" i="15"/>
  <c r="N379" i="15"/>
  <c r="M379" i="15"/>
  <c r="L379" i="15"/>
  <c r="O379" i="15" s="1"/>
  <c r="P378" i="15"/>
  <c r="N378" i="15"/>
  <c r="M378" i="15"/>
  <c r="L378" i="15"/>
  <c r="O378" i="15" s="1"/>
  <c r="T377" i="15"/>
  <c r="S377" i="15"/>
  <c r="R377" i="15"/>
  <c r="Q377" i="15"/>
  <c r="N377" i="15"/>
  <c r="M377" i="15"/>
  <c r="P377" i="15" s="1"/>
  <c r="L377" i="15"/>
  <c r="P376" i="15"/>
  <c r="M376" i="15"/>
  <c r="D374" i="15"/>
  <c r="K373" i="15"/>
  <c r="J373" i="15"/>
  <c r="J372" i="15"/>
  <c r="J366" i="15" s="1"/>
  <c r="I372" i="15"/>
  <c r="K371" i="15"/>
  <c r="J371" i="15"/>
  <c r="J370" i="15"/>
  <c r="I370" i="15"/>
  <c r="J369" i="15"/>
  <c r="I369" i="15"/>
  <c r="K368" i="15"/>
  <c r="J368" i="15"/>
  <c r="U365" i="15"/>
  <c r="T365" i="15"/>
  <c r="N365" i="15"/>
  <c r="N363" i="15" s="1"/>
  <c r="M365" i="15"/>
  <c r="M363" i="15" s="1"/>
  <c r="P363" i="15" s="1"/>
  <c r="L365" i="15"/>
  <c r="O365" i="15" s="1"/>
  <c r="U364" i="15"/>
  <c r="T364" i="15"/>
  <c r="P364" i="15"/>
  <c r="O364" i="15"/>
  <c r="U363" i="15"/>
  <c r="S363" i="15"/>
  <c r="R363" i="15"/>
  <c r="Q363" i="15"/>
  <c r="T363" i="15" s="1"/>
  <c r="U362" i="15"/>
  <c r="T362" i="15"/>
  <c r="N362" i="15"/>
  <c r="M362" i="15"/>
  <c r="M360" i="15" s="1"/>
  <c r="L362" i="15"/>
  <c r="U361" i="15"/>
  <c r="T361" i="15"/>
  <c r="P361" i="15"/>
  <c r="O361" i="15"/>
  <c r="T360" i="15"/>
  <c r="S360" i="15"/>
  <c r="R360" i="15"/>
  <c r="U360" i="15" s="1"/>
  <c r="Q360" i="15"/>
  <c r="T359" i="15"/>
  <c r="S359" i="15"/>
  <c r="S357" i="15" s="1"/>
  <c r="R359" i="15"/>
  <c r="Q359" i="15"/>
  <c r="T358" i="15"/>
  <c r="S358" i="15"/>
  <c r="R358" i="15"/>
  <c r="U358" i="15" s="1"/>
  <c r="Q358" i="15"/>
  <c r="Q357" i="15" s="1"/>
  <c r="T357" i="15" s="1"/>
  <c r="P358" i="15"/>
  <c r="N358" i="15"/>
  <c r="M358" i="15"/>
  <c r="L358" i="15"/>
  <c r="O358" i="15" s="1"/>
  <c r="D355" i="15"/>
  <c r="J354" i="15"/>
  <c r="J353" i="15"/>
  <c r="D351" i="15"/>
  <c r="J350" i="15"/>
  <c r="J349" i="15"/>
  <c r="J348" i="15"/>
  <c r="J347" i="15"/>
  <c r="I347" i="15"/>
  <c r="J345" i="15"/>
  <c r="I345" i="15"/>
  <c r="I333" i="15" s="1"/>
  <c r="U342" i="15"/>
  <c r="T342" i="15"/>
  <c r="N342" i="15"/>
  <c r="M342" i="15"/>
  <c r="M340" i="15" s="1"/>
  <c r="P340" i="15" s="1"/>
  <c r="L342" i="15"/>
  <c r="U341" i="15"/>
  <c r="T341" i="15"/>
  <c r="P341" i="15"/>
  <c r="O341" i="15"/>
  <c r="T340" i="15"/>
  <c r="S340" i="15"/>
  <c r="R340" i="15"/>
  <c r="U340" i="15" s="1"/>
  <c r="Q340" i="15"/>
  <c r="U339" i="15"/>
  <c r="T339" i="15"/>
  <c r="N339" i="15"/>
  <c r="N337" i="15" s="1"/>
  <c r="M339" i="15"/>
  <c r="M337" i="15" s="1"/>
  <c r="L339" i="15"/>
  <c r="U338" i="15"/>
  <c r="T338" i="15"/>
  <c r="P338" i="15"/>
  <c r="O338" i="15"/>
  <c r="U337" i="15"/>
  <c r="S337" i="15"/>
  <c r="R337" i="15"/>
  <c r="Q337" i="15"/>
  <c r="T337" i="15" s="1"/>
  <c r="U336" i="15"/>
  <c r="T336" i="15"/>
  <c r="S336" i="15"/>
  <c r="R336" i="15"/>
  <c r="Q336" i="15"/>
  <c r="S335" i="15"/>
  <c r="S334" i="15" s="1"/>
  <c r="R335" i="15"/>
  <c r="U335" i="15" s="1"/>
  <c r="Q335" i="15"/>
  <c r="T335" i="15" s="1"/>
  <c r="N335" i="15"/>
  <c r="M335" i="15"/>
  <c r="L335" i="15"/>
  <c r="O335" i="15" s="1"/>
  <c r="Q334" i="15"/>
  <c r="T334" i="15" s="1"/>
  <c r="I331" i="15"/>
  <c r="I320" i="15" s="1"/>
  <c r="K320" i="15" s="1"/>
  <c r="U329" i="15"/>
  <c r="T329" i="15"/>
  <c r="N329" i="15"/>
  <c r="N327" i="15" s="1"/>
  <c r="M329" i="15"/>
  <c r="P329" i="15" s="1"/>
  <c r="L329" i="15"/>
  <c r="O329" i="15" s="1"/>
  <c r="U328" i="15"/>
  <c r="T328" i="15"/>
  <c r="P328" i="15"/>
  <c r="O328" i="15"/>
  <c r="T327" i="15"/>
  <c r="S327" i="15"/>
  <c r="R327" i="15"/>
  <c r="U327" i="15" s="1"/>
  <c r="Q327" i="15"/>
  <c r="U326" i="15"/>
  <c r="T326" i="15"/>
  <c r="N326" i="15"/>
  <c r="M326" i="15"/>
  <c r="M324" i="15" s="1"/>
  <c r="P324" i="15" s="1"/>
  <c r="L326" i="15"/>
  <c r="O326" i="15" s="1"/>
  <c r="U325" i="15"/>
  <c r="T325" i="15"/>
  <c r="P325" i="15"/>
  <c r="O325" i="15"/>
  <c r="S324" i="15"/>
  <c r="R324" i="15"/>
  <c r="U324" i="15" s="1"/>
  <c r="Q324" i="15"/>
  <c r="T324" i="15" s="1"/>
  <c r="U323" i="15"/>
  <c r="S323" i="15"/>
  <c r="R323" i="15"/>
  <c r="Q323" i="15"/>
  <c r="Q321" i="15" s="1"/>
  <c r="T321" i="15" s="1"/>
  <c r="U322" i="15"/>
  <c r="T322" i="15"/>
  <c r="S322" i="15"/>
  <c r="R322" i="15"/>
  <c r="Q322" i="15"/>
  <c r="O322" i="15"/>
  <c r="N322" i="15"/>
  <c r="M322" i="15"/>
  <c r="P322" i="15" s="1"/>
  <c r="L322" i="15"/>
  <c r="S321" i="15"/>
  <c r="R321" i="15"/>
  <c r="U321" i="15" s="1"/>
  <c r="J320" i="15"/>
  <c r="I315" i="15"/>
  <c r="U312" i="15"/>
  <c r="T312" i="15"/>
  <c r="N312" i="15"/>
  <c r="N310" i="15" s="1"/>
  <c r="M312" i="15"/>
  <c r="M310" i="15" s="1"/>
  <c r="P310" i="15" s="1"/>
  <c r="L312" i="15"/>
  <c r="U311" i="15"/>
  <c r="T311" i="15"/>
  <c r="P311" i="15"/>
  <c r="O311" i="15"/>
  <c r="U310" i="15"/>
  <c r="T310" i="15"/>
  <c r="S310" i="15"/>
  <c r="R310" i="15"/>
  <c r="Q310" i="15"/>
  <c r="S309" i="15"/>
  <c r="S307" i="15" s="1"/>
  <c r="R309" i="15"/>
  <c r="Q309" i="15"/>
  <c r="N309" i="15"/>
  <c r="M309" i="15"/>
  <c r="M307" i="15" s="1"/>
  <c r="P307" i="15" s="1"/>
  <c r="L309" i="15"/>
  <c r="L307" i="15" s="1"/>
  <c r="O307" i="15" s="1"/>
  <c r="U308" i="15"/>
  <c r="T308" i="15"/>
  <c r="P308" i="15"/>
  <c r="O308" i="15"/>
  <c r="U305" i="15"/>
  <c r="S305" i="15"/>
  <c r="R305" i="15"/>
  <c r="Q305" i="15"/>
  <c r="T305" i="15" s="1"/>
  <c r="P305" i="15"/>
  <c r="O305" i="15"/>
  <c r="N305" i="15"/>
  <c r="M305" i="15"/>
  <c r="L305" i="15"/>
  <c r="J303" i="15"/>
  <c r="I297" i="15"/>
  <c r="K297" i="15" s="1"/>
  <c r="I296" i="15"/>
  <c r="K296" i="15" s="1"/>
  <c r="J294" i="15"/>
  <c r="I294" i="15"/>
  <c r="K294" i="15" s="1"/>
  <c r="I293" i="15"/>
  <c r="K293" i="15" s="1"/>
  <c r="U291" i="15"/>
  <c r="T291" i="15"/>
  <c r="N291" i="15"/>
  <c r="M291" i="15"/>
  <c r="M289" i="15" s="1"/>
  <c r="P289" i="15" s="1"/>
  <c r="L291" i="15"/>
  <c r="U290" i="15"/>
  <c r="T290" i="15"/>
  <c r="P290" i="15"/>
  <c r="O290" i="15"/>
  <c r="S289" i="15"/>
  <c r="R289" i="15"/>
  <c r="U289" i="15" s="1"/>
  <c r="Q289" i="15"/>
  <c r="T289" i="15" s="1"/>
  <c r="U288" i="15"/>
  <c r="T288" i="15"/>
  <c r="N288" i="15"/>
  <c r="N286" i="15" s="1"/>
  <c r="M288" i="15"/>
  <c r="L288" i="15"/>
  <c r="U287" i="15"/>
  <c r="T287" i="15"/>
  <c r="P287" i="15"/>
  <c r="O287" i="15"/>
  <c r="U286" i="15"/>
  <c r="T286" i="15"/>
  <c r="S286" i="15"/>
  <c r="R286" i="15"/>
  <c r="Q286" i="15"/>
  <c r="S285" i="15"/>
  <c r="S283" i="15" s="1"/>
  <c r="R285" i="15"/>
  <c r="R283" i="15" s="1"/>
  <c r="U283" i="15" s="1"/>
  <c r="Q285" i="15"/>
  <c r="T285" i="15" s="1"/>
  <c r="U284" i="15"/>
  <c r="S284" i="15"/>
  <c r="R284" i="15"/>
  <c r="Q284" i="15"/>
  <c r="T284" i="15" s="1"/>
  <c r="P284" i="15"/>
  <c r="O284" i="15"/>
  <c r="N284" i="15"/>
  <c r="M284" i="15"/>
  <c r="L284" i="15"/>
  <c r="J282" i="15"/>
  <c r="J281" i="15"/>
  <c r="I277" i="15"/>
  <c r="K277" i="15" s="1"/>
  <c r="U275" i="15"/>
  <c r="T275" i="15"/>
  <c r="N275" i="15"/>
  <c r="N273" i="15" s="1"/>
  <c r="M275" i="15"/>
  <c r="P275" i="15" s="1"/>
  <c r="L275" i="15"/>
  <c r="L273" i="15" s="1"/>
  <c r="O273" i="15" s="1"/>
  <c r="U274" i="15"/>
  <c r="T274" i="15"/>
  <c r="P274" i="15"/>
  <c r="O274" i="15"/>
  <c r="T273" i="15"/>
  <c r="S273" i="15"/>
  <c r="R273" i="15"/>
  <c r="U273" i="15" s="1"/>
  <c r="Q273" i="15"/>
  <c r="S272" i="15"/>
  <c r="S270" i="15" s="1"/>
  <c r="R272" i="15"/>
  <c r="R270" i="15" s="1"/>
  <c r="Q272" i="15"/>
  <c r="Q270" i="15" s="1"/>
  <c r="N272" i="15"/>
  <c r="N270" i="15" s="1"/>
  <c r="M272" i="15"/>
  <c r="M270" i="15" s="1"/>
  <c r="L272" i="15"/>
  <c r="L270" i="15" s="1"/>
  <c r="O270" i="15" s="1"/>
  <c r="U271" i="15"/>
  <c r="T271" i="15"/>
  <c r="P271" i="15"/>
  <c r="O271" i="15"/>
  <c r="U268" i="15"/>
  <c r="T268" i="15"/>
  <c r="S268" i="15"/>
  <c r="R268" i="15"/>
  <c r="Q268" i="15"/>
  <c r="P268" i="15"/>
  <c r="O268" i="15"/>
  <c r="N268" i="15"/>
  <c r="M268" i="15"/>
  <c r="L268" i="15"/>
  <c r="J266" i="15"/>
  <c r="K264" i="15"/>
  <c r="K263" i="15"/>
  <c r="I261" i="15"/>
  <c r="I254" i="15" s="1"/>
  <c r="K254" i="15" s="1"/>
  <c r="L259" i="15"/>
  <c r="L258" i="15"/>
  <c r="L257" i="15"/>
  <c r="L256" i="15"/>
  <c r="P255" i="15"/>
  <c r="N255" i="15"/>
  <c r="J254" i="15"/>
  <c r="I253" i="15"/>
  <c r="I242" i="15" s="1"/>
  <c r="K242" i="15" s="1"/>
  <c r="I252" i="15"/>
  <c r="I250" i="15"/>
  <c r="I243" i="15" s="1"/>
  <c r="K243" i="15" s="1"/>
  <c r="L248" i="15"/>
  <c r="L247" i="15"/>
  <c r="L246" i="15"/>
  <c r="L245" i="15"/>
  <c r="P244" i="15"/>
  <c r="N244" i="15"/>
  <c r="J243" i="15"/>
  <c r="J232" i="15" s="1"/>
  <c r="J242" i="15"/>
  <c r="J241" i="15"/>
  <c r="J239" i="15"/>
  <c r="N237" i="15"/>
  <c r="N236" i="15"/>
  <c r="N235" i="15"/>
  <c r="N234" i="15"/>
  <c r="N233" i="15"/>
  <c r="I231" i="15"/>
  <c r="K231" i="15" s="1"/>
  <c r="I230" i="15"/>
  <c r="K230" i="15" s="1"/>
  <c r="I229" i="15"/>
  <c r="K229" i="15" s="1"/>
  <c r="L226" i="15"/>
  <c r="L225" i="15"/>
  <c r="L224" i="15"/>
  <c r="P223" i="15"/>
  <c r="N223" i="15"/>
  <c r="J222" i="15"/>
  <c r="I221" i="15"/>
  <c r="K221" i="15" s="1"/>
  <c r="I220" i="15"/>
  <c r="K220" i="15" s="1"/>
  <c r="L218" i="15"/>
  <c r="L217" i="15"/>
  <c r="L216" i="15"/>
  <c r="P215" i="15"/>
  <c r="N215" i="15"/>
  <c r="J214" i="15"/>
  <c r="I213" i="15"/>
  <c r="K213" i="15" s="1"/>
  <c r="I212" i="15"/>
  <c r="K212" i="15" s="1"/>
  <c r="I210" i="15"/>
  <c r="L208" i="15"/>
  <c r="L207" i="15"/>
  <c r="L206" i="15"/>
  <c r="L205" i="15"/>
  <c r="P204" i="15"/>
  <c r="N204" i="15"/>
  <c r="J203" i="15"/>
  <c r="J200" i="15"/>
  <c r="I199" i="15"/>
  <c r="K199" i="15" s="1"/>
  <c r="P197" i="15"/>
  <c r="L197" i="15"/>
  <c r="O197" i="15" s="1"/>
  <c r="J196" i="15"/>
  <c r="U195" i="15"/>
  <c r="T195" i="15"/>
  <c r="N195" i="15"/>
  <c r="N193" i="15" s="1"/>
  <c r="M195" i="15"/>
  <c r="M193" i="15" s="1"/>
  <c r="P193" i="15" s="1"/>
  <c r="L195" i="15"/>
  <c r="L193" i="15" s="1"/>
  <c r="O193" i="15" s="1"/>
  <c r="U194" i="15"/>
  <c r="T194" i="15"/>
  <c r="P194" i="15"/>
  <c r="O194" i="15"/>
  <c r="U193" i="15"/>
  <c r="S193" i="15"/>
  <c r="R193" i="15"/>
  <c r="Q193" i="15"/>
  <c r="T193" i="15" s="1"/>
  <c r="S192" i="15"/>
  <c r="R192" i="15"/>
  <c r="R190" i="15" s="1"/>
  <c r="Q192" i="15"/>
  <c r="Q189" i="15" s="1"/>
  <c r="Q187" i="15" s="1"/>
  <c r="N192" i="15"/>
  <c r="N190" i="15" s="1"/>
  <c r="M192" i="15"/>
  <c r="M190" i="15" s="1"/>
  <c r="L192" i="15"/>
  <c r="U191" i="15"/>
  <c r="T191" i="15"/>
  <c r="P191" i="15"/>
  <c r="O191" i="15"/>
  <c r="S188" i="15"/>
  <c r="R188" i="15"/>
  <c r="Q188" i="15"/>
  <c r="T188" i="15" s="1"/>
  <c r="N188" i="15"/>
  <c r="M188" i="15"/>
  <c r="L188" i="15"/>
  <c r="J186" i="15"/>
  <c r="K185" i="15"/>
  <c r="I184" i="15"/>
  <c r="I173" i="15" s="1"/>
  <c r="K173" i="15" s="1"/>
  <c r="U182" i="15"/>
  <c r="T182" i="15"/>
  <c r="N182" i="15"/>
  <c r="N180" i="15" s="1"/>
  <c r="M182" i="15"/>
  <c r="L182" i="15"/>
  <c r="O182" i="15" s="1"/>
  <c r="U181" i="15"/>
  <c r="T181" i="15"/>
  <c r="P181" i="15"/>
  <c r="O181" i="15"/>
  <c r="T180" i="15"/>
  <c r="S180" i="15"/>
  <c r="R180" i="15"/>
  <c r="U180" i="15" s="1"/>
  <c r="Q180" i="15"/>
  <c r="S179" i="15"/>
  <c r="S176" i="15" s="1"/>
  <c r="S174" i="15" s="1"/>
  <c r="R179" i="15"/>
  <c r="U179" i="15" s="1"/>
  <c r="Q179" i="15"/>
  <c r="Q176" i="15" s="1"/>
  <c r="N179" i="15"/>
  <c r="N177" i="15" s="1"/>
  <c r="M179" i="15"/>
  <c r="M177" i="15" s="1"/>
  <c r="L179" i="15"/>
  <c r="L177" i="15" s="1"/>
  <c r="U178" i="15"/>
  <c r="T178" i="15"/>
  <c r="P178" i="15"/>
  <c r="O178" i="15"/>
  <c r="U175" i="15"/>
  <c r="T175" i="15"/>
  <c r="S175" i="15"/>
  <c r="R175" i="15"/>
  <c r="Q175" i="15"/>
  <c r="O175" i="15"/>
  <c r="N175" i="15"/>
  <c r="M175" i="15"/>
  <c r="P175" i="15" s="1"/>
  <c r="L175" i="15"/>
  <c r="J173" i="15"/>
  <c r="I168" i="15"/>
  <c r="U166" i="15"/>
  <c r="T166" i="15"/>
  <c r="N166" i="15"/>
  <c r="N164" i="15" s="1"/>
  <c r="M166" i="15"/>
  <c r="P166" i="15" s="1"/>
  <c r="L166" i="15"/>
  <c r="O166" i="15" s="1"/>
  <c r="U165" i="15"/>
  <c r="T165" i="15"/>
  <c r="P165" i="15"/>
  <c r="O165" i="15"/>
  <c r="S164" i="15"/>
  <c r="R164" i="15"/>
  <c r="U164" i="15" s="1"/>
  <c r="Q164" i="15"/>
  <c r="T164" i="15" s="1"/>
  <c r="S163" i="15"/>
  <c r="S161" i="15" s="1"/>
  <c r="R163" i="15"/>
  <c r="R160" i="15" s="1"/>
  <c r="U160" i="15" s="1"/>
  <c r="Q160" i="15"/>
  <c r="N163" i="15"/>
  <c r="M163" i="15"/>
  <c r="M161" i="15" s="1"/>
  <c r="L163" i="15"/>
  <c r="U162" i="15"/>
  <c r="T162" i="15"/>
  <c r="P162" i="15"/>
  <c r="O162" i="15"/>
  <c r="T159" i="15"/>
  <c r="S159" i="15"/>
  <c r="R159" i="15"/>
  <c r="U159" i="15" s="1"/>
  <c r="Q159" i="15"/>
  <c r="N159" i="15"/>
  <c r="M159" i="15"/>
  <c r="P159" i="15" s="1"/>
  <c r="L159" i="15"/>
  <c r="O159" i="15" s="1"/>
  <c r="J157" i="15"/>
  <c r="I155" i="15"/>
  <c r="I137" i="15" s="1"/>
  <c r="K137" i="15" s="1"/>
  <c r="I154" i="15"/>
  <c r="K154" i="15" s="1"/>
  <c r="I153" i="15"/>
  <c r="K153" i="15" s="1"/>
  <c r="I152" i="15"/>
  <c r="K152" i="15" s="1"/>
  <c r="I151" i="15"/>
  <c r="K151" i="15" s="1"/>
  <c r="U148" i="15"/>
  <c r="T148" i="15"/>
  <c r="N148" i="15"/>
  <c r="M148" i="15"/>
  <c r="M146" i="15" s="1"/>
  <c r="P146" i="15" s="1"/>
  <c r="L148" i="15"/>
  <c r="O148" i="15" s="1"/>
  <c r="U147" i="15"/>
  <c r="T147" i="15"/>
  <c r="P147" i="15"/>
  <c r="O147" i="15"/>
  <c r="S146" i="15"/>
  <c r="R146" i="15"/>
  <c r="U146" i="15" s="1"/>
  <c r="Q146" i="15"/>
  <c r="T146" i="15" s="1"/>
  <c r="S145" i="15"/>
  <c r="R145" i="15"/>
  <c r="R143" i="15" s="1"/>
  <c r="U143" i="15" s="1"/>
  <c r="Q145" i="15"/>
  <c r="Q142" i="15" s="1"/>
  <c r="T142" i="15" s="1"/>
  <c r="N145" i="15"/>
  <c r="N143" i="15" s="1"/>
  <c r="M145" i="15"/>
  <c r="L145" i="15"/>
  <c r="O145" i="15" s="1"/>
  <c r="U144" i="15"/>
  <c r="T144" i="15"/>
  <c r="P144" i="15"/>
  <c r="O144" i="15"/>
  <c r="T141" i="15"/>
  <c r="S141" i="15"/>
  <c r="R141" i="15"/>
  <c r="U141" i="15" s="1"/>
  <c r="Q141" i="15"/>
  <c r="N141" i="15"/>
  <c r="M141" i="15"/>
  <c r="L141" i="15"/>
  <c r="O141" i="15" s="1"/>
  <c r="J139" i="15"/>
  <c r="J138" i="15"/>
  <c r="J137" i="15"/>
  <c r="I131" i="15"/>
  <c r="K131" i="15" s="1"/>
  <c r="I130" i="15"/>
  <c r="K130" i="15" s="1"/>
  <c r="I129" i="15"/>
  <c r="K129" i="15" s="1"/>
  <c r="I128" i="15"/>
  <c r="K128" i="15" s="1"/>
  <c r="U126" i="15"/>
  <c r="T126" i="15"/>
  <c r="N126" i="15"/>
  <c r="N124" i="15" s="1"/>
  <c r="M126" i="15"/>
  <c r="M124" i="15" s="1"/>
  <c r="P124" i="15" s="1"/>
  <c r="L126" i="15"/>
  <c r="O126" i="15" s="1"/>
  <c r="U125" i="15"/>
  <c r="T125" i="15"/>
  <c r="P125" i="15"/>
  <c r="O125" i="15"/>
  <c r="S124" i="15"/>
  <c r="R124" i="15"/>
  <c r="U124" i="15" s="1"/>
  <c r="Q124" i="15"/>
  <c r="T124" i="15" s="1"/>
  <c r="S123" i="15"/>
  <c r="S121" i="15" s="1"/>
  <c r="R123" i="15"/>
  <c r="R121" i="15" s="1"/>
  <c r="Q123" i="15"/>
  <c r="Q120" i="15" s="1"/>
  <c r="N123" i="15"/>
  <c r="N121" i="15" s="1"/>
  <c r="M123" i="15"/>
  <c r="P123" i="15" s="1"/>
  <c r="L123" i="15"/>
  <c r="L121" i="15" s="1"/>
  <c r="O121" i="15" s="1"/>
  <c r="U122" i="15"/>
  <c r="T122" i="15"/>
  <c r="P122" i="15"/>
  <c r="O122" i="15"/>
  <c r="U119" i="15"/>
  <c r="T119" i="15"/>
  <c r="S119" i="15"/>
  <c r="R119" i="15"/>
  <c r="Q119" i="15"/>
  <c r="P119" i="15"/>
  <c r="O119" i="15"/>
  <c r="N119" i="15"/>
  <c r="M119" i="15"/>
  <c r="L119" i="15"/>
  <c r="J117" i="15"/>
  <c r="I115" i="15"/>
  <c r="K115" i="15" s="1"/>
  <c r="I114" i="15"/>
  <c r="K114" i="15" s="1"/>
  <c r="I110" i="15"/>
  <c r="K110" i="15" s="1"/>
  <c r="I109" i="15"/>
  <c r="I93" i="15" s="1"/>
  <c r="K93" i="15" s="1"/>
  <c r="U103" i="15"/>
  <c r="T103" i="15"/>
  <c r="N103" i="15"/>
  <c r="N101" i="15" s="1"/>
  <c r="M103" i="15"/>
  <c r="P103" i="15" s="1"/>
  <c r="L103" i="15"/>
  <c r="O103" i="15" s="1"/>
  <c r="U102" i="15"/>
  <c r="T102" i="15"/>
  <c r="P102" i="15"/>
  <c r="O102" i="15"/>
  <c r="T101" i="15"/>
  <c r="S101" i="15"/>
  <c r="R101" i="15"/>
  <c r="U101" i="15" s="1"/>
  <c r="Q101" i="15"/>
  <c r="S100" i="15"/>
  <c r="S98" i="15" s="1"/>
  <c r="R100" i="15"/>
  <c r="R97" i="15" s="1"/>
  <c r="Q100" i="15"/>
  <c r="Q98" i="15" s="1"/>
  <c r="N100" i="15"/>
  <c r="M100" i="15"/>
  <c r="M98" i="15" s="1"/>
  <c r="L100" i="15"/>
  <c r="L98" i="15" s="1"/>
  <c r="U99" i="15"/>
  <c r="T99" i="15"/>
  <c r="P99" i="15"/>
  <c r="O99" i="15"/>
  <c r="S96" i="15"/>
  <c r="R96" i="15"/>
  <c r="U96" i="15" s="1"/>
  <c r="Q96" i="15"/>
  <c r="O96" i="15"/>
  <c r="N96" i="15"/>
  <c r="M96" i="15"/>
  <c r="P96" i="15" s="1"/>
  <c r="L96" i="15"/>
  <c r="J94" i="15"/>
  <c r="J93" i="15"/>
  <c r="I91" i="15"/>
  <c r="K91" i="15" s="1"/>
  <c r="I90" i="15"/>
  <c r="K90" i="15" s="1"/>
  <c r="I89" i="15"/>
  <c r="K89" i="15" s="1"/>
  <c r="I88" i="15"/>
  <c r="K88" i="15" s="1"/>
  <c r="I87" i="15"/>
  <c r="K87" i="15" s="1"/>
  <c r="I86" i="15"/>
  <c r="I85" i="15"/>
  <c r="K85" i="15" s="1"/>
  <c r="J84" i="15"/>
  <c r="J83" i="15"/>
  <c r="U81" i="15"/>
  <c r="T81" i="15"/>
  <c r="N81" i="15"/>
  <c r="N79" i="15" s="1"/>
  <c r="M81" i="15"/>
  <c r="P81" i="15" s="1"/>
  <c r="L81" i="15"/>
  <c r="O81" i="15" s="1"/>
  <c r="U80" i="15"/>
  <c r="T80" i="15"/>
  <c r="P80" i="15"/>
  <c r="O80" i="15"/>
  <c r="U79" i="15"/>
  <c r="T79" i="15"/>
  <c r="S79" i="15"/>
  <c r="R79" i="15"/>
  <c r="Q79" i="15"/>
  <c r="S78" i="15"/>
  <c r="S76" i="15" s="1"/>
  <c r="R78" i="15"/>
  <c r="Q78" i="15"/>
  <c r="N78" i="15"/>
  <c r="N76" i="15" s="1"/>
  <c r="M78" i="15"/>
  <c r="L78" i="15"/>
  <c r="U77" i="15"/>
  <c r="T77" i="15"/>
  <c r="P77" i="15"/>
  <c r="O77" i="15"/>
  <c r="M76" i="15"/>
  <c r="S74" i="15"/>
  <c r="R74" i="15"/>
  <c r="Q74" i="15"/>
  <c r="T74" i="15" s="1"/>
  <c r="N74" i="15"/>
  <c r="M74" i="15"/>
  <c r="P74" i="15" s="1"/>
  <c r="L74" i="15"/>
  <c r="J72" i="15"/>
  <c r="J71" i="15"/>
  <c r="U68" i="15"/>
  <c r="T68" i="15"/>
  <c r="N68" i="15"/>
  <c r="N66" i="15" s="1"/>
  <c r="M68" i="15"/>
  <c r="P68" i="15" s="1"/>
  <c r="L68" i="15"/>
  <c r="O68" i="15" s="1"/>
  <c r="U67" i="15"/>
  <c r="T67" i="15"/>
  <c r="P67" i="15"/>
  <c r="O67" i="15"/>
  <c r="U66" i="15"/>
  <c r="T66" i="15"/>
  <c r="S66" i="15"/>
  <c r="R66" i="15"/>
  <c r="Q66" i="15"/>
  <c r="U65" i="15"/>
  <c r="T65" i="15"/>
  <c r="N65" i="15"/>
  <c r="M65" i="15"/>
  <c r="M63" i="15" s="1"/>
  <c r="L65" i="15"/>
  <c r="L63" i="15" s="1"/>
  <c r="U64" i="15"/>
  <c r="T64" i="15"/>
  <c r="P64" i="15"/>
  <c r="O64" i="15"/>
  <c r="S63" i="15"/>
  <c r="R63" i="15"/>
  <c r="U63" i="15" s="1"/>
  <c r="Q63" i="15"/>
  <c r="T63" i="15" s="1"/>
  <c r="U62" i="15"/>
  <c r="T62" i="15"/>
  <c r="S62" i="15"/>
  <c r="R62" i="15"/>
  <c r="Q62" i="15"/>
  <c r="T61" i="15"/>
  <c r="S61" i="15"/>
  <c r="R61" i="15"/>
  <c r="Q61" i="15"/>
  <c r="Q60" i="15" s="1"/>
  <c r="T60" i="15" s="1"/>
  <c r="N61" i="15"/>
  <c r="M61" i="15"/>
  <c r="P61" i="15" s="1"/>
  <c r="L61" i="15"/>
  <c r="S60" i="15"/>
  <c r="U53" i="15"/>
  <c r="T53" i="15"/>
  <c r="N53" i="15"/>
  <c r="N51" i="15" s="1"/>
  <c r="M53" i="15"/>
  <c r="P53" i="15" s="1"/>
  <c r="L53" i="15"/>
  <c r="O53" i="15" s="1"/>
  <c r="U52" i="15"/>
  <c r="T52" i="15"/>
  <c r="P52" i="15"/>
  <c r="O52" i="15"/>
  <c r="U51" i="15"/>
  <c r="T51" i="15"/>
  <c r="S51" i="15"/>
  <c r="R51" i="15"/>
  <c r="Q51" i="15"/>
  <c r="U50" i="15"/>
  <c r="T50" i="15"/>
  <c r="N50" i="15"/>
  <c r="M50" i="15"/>
  <c r="M48" i="15" s="1"/>
  <c r="L50" i="15"/>
  <c r="L48" i="15" s="1"/>
  <c r="U49" i="15"/>
  <c r="T49" i="15"/>
  <c r="P49" i="15"/>
  <c r="O49" i="15"/>
  <c r="S48" i="15"/>
  <c r="R48" i="15"/>
  <c r="U48" i="15" s="1"/>
  <c r="Q48" i="15"/>
  <c r="T48" i="15" s="1"/>
  <c r="U47" i="15"/>
  <c r="T47" i="15"/>
  <c r="S47" i="15"/>
  <c r="R47" i="15"/>
  <c r="Q47" i="15"/>
  <c r="T46" i="15"/>
  <c r="S46" i="15"/>
  <c r="R46" i="15"/>
  <c r="Q46" i="15"/>
  <c r="Q45" i="15" s="1"/>
  <c r="T45" i="15" s="1"/>
  <c r="N46" i="15"/>
  <c r="M46" i="15"/>
  <c r="P46" i="15" s="1"/>
  <c r="L46" i="15"/>
  <c r="S45" i="15"/>
  <c r="U27" i="15"/>
  <c r="T27" i="15"/>
  <c r="S27" i="15"/>
  <c r="R27" i="15"/>
  <c r="Q27" i="15"/>
  <c r="S26" i="15"/>
  <c r="S25" i="15" s="1"/>
  <c r="R26" i="15"/>
  <c r="U26" i="15" s="1"/>
  <c r="Q26" i="15"/>
  <c r="N26" i="15"/>
  <c r="M26" i="15"/>
  <c r="P26" i="15" s="1"/>
  <c r="L26" i="15"/>
  <c r="O26" i="15" s="1"/>
  <c r="U25" i="15"/>
  <c r="R25" i="15"/>
  <c r="S23" i="15"/>
  <c r="S20" i="15" s="1"/>
  <c r="R23" i="15"/>
  <c r="U23" i="15" s="1"/>
  <c r="Q23" i="15"/>
  <c r="N23" i="15"/>
  <c r="M23" i="15"/>
  <c r="P23" i="15" s="1"/>
  <c r="L23" i="15"/>
  <c r="O23" i="15" s="1"/>
  <c r="R20" i="15"/>
  <c r="U20" i="15" s="1"/>
  <c r="Q20" i="15"/>
  <c r="N20" i="15"/>
  <c r="A788" i="14"/>
  <c r="J785" i="14"/>
  <c r="I785" i="14"/>
  <c r="J784" i="14"/>
  <c r="I784" i="14"/>
  <c r="J783" i="14"/>
  <c r="I783" i="14"/>
  <c r="K783" i="14" s="1"/>
  <c r="J782" i="14"/>
  <c r="I782" i="14"/>
  <c r="K782" i="14" s="1"/>
  <c r="J781" i="14"/>
  <c r="I781" i="14"/>
  <c r="J780" i="14"/>
  <c r="I780" i="14"/>
  <c r="J779" i="14"/>
  <c r="I779" i="14"/>
  <c r="J778" i="14"/>
  <c r="I778" i="14"/>
  <c r="H777" i="14"/>
  <c r="I776" i="14"/>
  <c r="I775" i="14"/>
  <c r="I774" i="14"/>
  <c r="I759" i="14" s="1"/>
  <c r="K759" i="14" s="1"/>
  <c r="I772" i="14"/>
  <c r="I770" i="14"/>
  <c r="K770" i="14" s="1"/>
  <c r="U768" i="14"/>
  <c r="T768" i="14"/>
  <c r="P768" i="14"/>
  <c r="O768" i="14"/>
  <c r="U767" i="14"/>
  <c r="T767" i="14"/>
  <c r="P767" i="14"/>
  <c r="O767" i="14"/>
  <c r="U766" i="14"/>
  <c r="S766" i="14"/>
  <c r="R766" i="14"/>
  <c r="Q766" i="14"/>
  <c r="T766" i="14" s="1"/>
  <c r="P766" i="14"/>
  <c r="O766" i="14"/>
  <c r="N766" i="14"/>
  <c r="M766" i="14"/>
  <c r="L766" i="14"/>
  <c r="S765" i="14"/>
  <c r="S762" i="14" s="1"/>
  <c r="S760" i="14" s="1"/>
  <c r="R765" i="14"/>
  <c r="R762" i="14" s="1"/>
  <c r="Q765" i="14"/>
  <c r="Q762" i="14" s="1"/>
  <c r="P765" i="14"/>
  <c r="O765" i="14"/>
  <c r="U764" i="14"/>
  <c r="T764" i="14"/>
  <c r="P764" i="14"/>
  <c r="O764" i="14"/>
  <c r="N763" i="14"/>
  <c r="M763" i="14"/>
  <c r="P763" i="14" s="1"/>
  <c r="L763" i="14"/>
  <c r="O763" i="14" s="1"/>
  <c r="P762" i="14"/>
  <c r="N762" i="14"/>
  <c r="M762" i="14"/>
  <c r="L762" i="14"/>
  <c r="U761" i="14"/>
  <c r="T761" i="14"/>
  <c r="S761" i="14"/>
  <c r="R761" i="14"/>
  <c r="Q761" i="14"/>
  <c r="P761" i="14"/>
  <c r="O761" i="14"/>
  <c r="N761" i="14"/>
  <c r="M761" i="14"/>
  <c r="L761" i="14"/>
  <c r="N760" i="14"/>
  <c r="M760" i="14"/>
  <c r="P760" i="14" s="1"/>
  <c r="J759" i="14"/>
  <c r="J758" i="14"/>
  <c r="I756" i="14"/>
  <c r="K756" i="14" s="1"/>
  <c r="I753" i="14"/>
  <c r="K753" i="14" s="1"/>
  <c r="I750" i="14"/>
  <c r="K750" i="14" s="1"/>
  <c r="I747" i="14"/>
  <c r="K747" i="14" s="1"/>
  <c r="I745" i="14"/>
  <c r="K745" i="14" s="1"/>
  <c r="I743" i="14"/>
  <c r="K743" i="14" s="1"/>
  <c r="I741" i="14"/>
  <c r="K741" i="14" s="1"/>
  <c r="U737" i="14"/>
  <c r="T737" i="14"/>
  <c r="P737" i="14"/>
  <c r="O737" i="14"/>
  <c r="U736" i="14"/>
  <c r="T736" i="14"/>
  <c r="P736" i="14"/>
  <c r="O736" i="14"/>
  <c r="U735" i="14"/>
  <c r="T735" i="14"/>
  <c r="S735" i="14"/>
  <c r="R735" i="14"/>
  <c r="Q735" i="14"/>
  <c r="P735" i="14"/>
  <c r="O735" i="14"/>
  <c r="N735" i="14"/>
  <c r="M735" i="14"/>
  <c r="L735" i="14"/>
  <c r="S734" i="14"/>
  <c r="S731" i="14" s="1"/>
  <c r="S729" i="14" s="1"/>
  <c r="R734" i="14"/>
  <c r="R732" i="14" s="1"/>
  <c r="Q734" i="14"/>
  <c r="Q731" i="14" s="1"/>
  <c r="P734" i="14"/>
  <c r="O734" i="14"/>
  <c r="U733" i="14"/>
  <c r="T733" i="14"/>
  <c r="P733" i="14"/>
  <c r="O733" i="14"/>
  <c r="N732" i="14"/>
  <c r="M732" i="14"/>
  <c r="P732" i="14" s="1"/>
  <c r="L732" i="14"/>
  <c r="O732" i="14" s="1"/>
  <c r="P731" i="14"/>
  <c r="O731" i="14"/>
  <c r="N731" i="14"/>
  <c r="M731" i="14"/>
  <c r="L731" i="14"/>
  <c r="U730" i="14"/>
  <c r="T730" i="14"/>
  <c r="S730" i="14"/>
  <c r="R730" i="14"/>
  <c r="Q730" i="14"/>
  <c r="O730" i="14"/>
  <c r="N730" i="14"/>
  <c r="N729" i="14" s="1"/>
  <c r="M730" i="14"/>
  <c r="P730" i="14" s="1"/>
  <c r="L730" i="14"/>
  <c r="M729" i="14"/>
  <c r="P729" i="14" s="1"/>
  <c r="L729" i="14"/>
  <c r="O729" i="14" s="1"/>
  <c r="J728" i="14"/>
  <c r="I728" i="14"/>
  <c r="K728" i="14" s="1"/>
  <c r="J727" i="14"/>
  <c r="I727" i="14"/>
  <c r="K727" i="14" s="1"/>
  <c r="U723" i="14"/>
  <c r="T723" i="14"/>
  <c r="P723" i="14"/>
  <c r="O723" i="14"/>
  <c r="U722" i="14"/>
  <c r="T722" i="14"/>
  <c r="P722" i="14"/>
  <c r="O722" i="14"/>
  <c r="S721" i="14"/>
  <c r="R721" i="14"/>
  <c r="U721" i="14" s="1"/>
  <c r="Q721" i="14"/>
  <c r="T721" i="14" s="1"/>
  <c r="N721" i="14"/>
  <c r="M721" i="14"/>
  <c r="P721" i="14" s="1"/>
  <c r="L721" i="14"/>
  <c r="O721" i="14" s="1"/>
  <c r="U720" i="14"/>
  <c r="T720" i="14"/>
  <c r="P720" i="14"/>
  <c r="O720" i="14"/>
  <c r="U719" i="14"/>
  <c r="T719" i="14"/>
  <c r="P719" i="14"/>
  <c r="O719" i="14"/>
  <c r="S718" i="14"/>
  <c r="R718" i="14"/>
  <c r="U718" i="14" s="1"/>
  <c r="Q718" i="14"/>
  <c r="T718" i="14" s="1"/>
  <c r="N718" i="14"/>
  <c r="M718" i="14"/>
  <c r="P718" i="14" s="1"/>
  <c r="L718" i="14"/>
  <c r="O718" i="14" s="1"/>
  <c r="U717" i="14"/>
  <c r="S717" i="14"/>
  <c r="R717" i="14"/>
  <c r="Q717" i="14"/>
  <c r="P717" i="14"/>
  <c r="O717" i="14"/>
  <c r="N717" i="14"/>
  <c r="M717" i="14"/>
  <c r="L717" i="14"/>
  <c r="U716" i="14"/>
  <c r="T716" i="14"/>
  <c r="S716" i="14"/>
  <c r="R716" i="14"/>
  <c r="Q716" i="14"/>
  <c r="O716" i="14"/>
  <c r="N716" i="14"/>
  <c r="N715" i="14" s="1"/>
  <c r="M716" i="14"/>
  <c r="P716" i="14" s="1"/>
  <c r="L716" i="14"/>
  <c r="S715" i="14"/>
  <c r="R715" i="14"/>
  <c r="U715" i="14" s="1"/>
  <c r="M715" i="14"/>
  <c r="P715" i="14" s="1"/>
  <c r="L715" i="14"/>
  <c r="O715" i="14" s="1"/>
  <c r="K713" i="14"/>
  <c r="J713" i="14"/>
  <c r="K711" i="14"/>
  <c r="J711" i="14"/>
  <c r="J710" i="14"/>
  <c r="I710" i="14"/>
  <c r="K709" i="14"/>
  <c r="J709" i="14"/>
  <c r="J708" i="14"/>
  <c r="J690" i="14" s="1"/>
  <c r="I708" i="14"/>
  <c r="K707" i="14"/>
  <c r="J707" i="14"/>
  <c r="J706" i="14"/>
  <c r="I706" i="14"/>
  <c r="K705" i="14"/>
  <c r="J705" i="14"/>
  <c r="J704" i="14"/>
  <c r="I704" i="14"/>
  <c r="K703" i="14"/>
  <c r="I701" i="14"/>
  <c r="K701" i="14" s="1"/>
  <c r="U699" i="14"/>
  <c r="T699" i="14"/>
  <c r="P699" i="14"/>
  <c r="O699" i="14"/>
  <c r="U698" i="14"/>
  <c r="T698" i="14"/>
  <c r="P698" i="14"/>
  <c r="O698" i="14"/>
  <c r="S697" i="14"/>
  <c r="R697" i="14"/>
  <c r="U697" i="14" s="1"/>
  <c r="Q697" i="14"/>
  <c r="T697" i="14" s="1"/>
  <c r="P697" i="14"/>
  <c r="N697" i="14"/>
  <c r="M697" i="14"/>
  <c r="L697" i="14"/>
  <c r="O697" i="14" s="1"/>
  <c r="S696" i="14"/>
  <c r="R696" i="14"/>
  <c r="R694" i="14" s="1"/>
  <c r="Q696" i="14"/>
  <c r="Q693" i="14" s="1"/>
  <c r="P696" i="14"/>
  <c r="O696" i="14"/>
  <c r="U695" i="14"/>
  <c r="T695" i="14"/>
  <c r="P695" i="14"/>
  <c r="O695" i="14"/>
  <c r="O694" i="14"/>
  <c r="N694" i="14"/>
  <c r="M694" i="14"/>
  <c r="P694" i="14" s="1"/>
  <c r="L694" i="14"/>
  <c r="N693" i="14"/>
  <c r="M693" i="14"/>
  <c r="L693" i="14"/>
  <c r="U692" i="14"/>
  <c r="S692" i="14"/>
  <c r="R692" i="14"/>
  <c r="Q692" i="14"/>
  <c r="P692" i="14"/>
  <c r="O692" i="14"/>
  <c r="N692" i="14"/>
  <c r="M692" i="14"/>
  <c r="L692" i="14"/>
  <c r="N691" i="14"/>
  <c r="J683" i="14"/>
  <c r="I683" i="14"/>
  <c r="K683" i="14" s="1"/>
  <c r="J682" i="14"/>
  <c r="I682" i="14"/>
  <c r="K682" i="14" s="1"/>
  <c r="J681" i="14"/>
  <c r="J680" i="14"/>
  <c r="I680" i="14"/>
  <c r="K680" i="14" s="1"/>
  <c r="J679" i="14"/>
  <c r="I679" i="14"/>
  <c r="K679" i="14" s="1"/>
  <c r="J678" i="14"/>
  <c r="J677" i="14"/>
  <c r="I677" i="14"/>
  <c r="K677" i="14" s="1"/>
  <c r="I676" i="14"/>
  <c r="K676" i="14" s="1"/>
  <c r="I675" i="14"/>
  <c r="K675" i="14" s="1"/>
  <c r="J674" i="14"/>
  <c r="I674" i="14"/>
  <c r="K674" i="14" s="1"/>
  <c r="J673" i="14"/>
  <c r="J672" i="14"/>
  <c r="J662" i="14"/>
  <c r="I662" i="14"/>
  <c r="K662" i="14" s="1"/>
  <c r="I661" i="14"/>
  <c r="I658" i="14"/>
  <c r="J655" i="14"/>
  <c r="I655" i="14"/>
  <c r="K655" i="14" s="1"/>
  <c r="J654" i="14"/>
  <c r="I654" i="14"/>
  <c r="K654" i="14" s="1"/>
  <c r="J653" i="14"/>
  <c r="I653" i="14"/>
  <c r="K653" i="14" s="1"/>
  <c r="U651" i="14"/>
  <c r="T651" i="14"/>
  <c r="P651" i="14"/>
  <c r="O651" i="14"/>
  <c r="U650" i="14"/>
  <c r="T650" i="14"/>
  <c r="P650" i="14"/>
  <c r="O650" i="14"/>
  <c r="S649" i="14"/>
  <c r="R649" i="14"/>
  <c r="U649" i="14" s="1"/>
  <c r="Q649" i="14"/>
  <c r="T649" i="14" s="1"/>
  <c r="P649" i="14"/>
  <c r="N649" i="14"/>
  <c r="M649" i="14"/>
  <c r="L649" i="14"/>
  <c r="O649" i="14" s="1"/>
  <c r="S648" i="14"/>
  <c r="R648" i="14"/>
  <c r="R645" i="14" s="1"/>
  <c r="Q648" i="14"/>
  <c r="T648" i="14" s="1"/>
  <c r="P648" i="14"/>
  <c r="O648" i="14"/>
  <c r="U647" i="14"/>
  <c r="T647" i="14"/>
  <c r="P647" i="14"/>
  <c r="O647" i="14"/>
  <c r="O646" i="14"/>
  <c r="N646" i="14"/>
  <c r="M646" i="14"/>
  <c r="P646" i="14" s="1"/>
  <c r="L646" i="14"/>
  <c r="N645" i="14"/>
  <c r="M645" i="14"/>
  <c r="L645" i="14"/>
  <c r="U644" i="14"/>
  <c r="S644" i="14"/>
  <c r="R644" i="14"/>
  <c r="Q644" i="14"/>
  <c r="P644" i="14"/>
  <c r="O644" i="14"/>
  <c r="N644" i="14"/>
  <c r="M644" i="14"/>
  <c r="L644" i="14"/>
  <c r="N643" i="14"/>
  <c r="J637" i="14"/>
  <c r="J636" i="14"/>
  <c r="I636" i="14"/>
  <c r="K636" i="14" s="1"/>
  <c r="J633" i="14"/>
  <c r="I629" i="14"/>
  <c r="K629" i="14" s="1"/>
  <c r="I628" i="14"/>
  <c r="K628" i="14" s="1"/>
  <c r="J627" i="14"/>
  <c r="J616" i="14" s="1"/>
  <c r="I627" i="14"/>
  <c r="K630" i="14" s="1"/>
  <c r="U625" i="14"/>
  <c r="T625" i="14"/>
  <c r="P625" i="14"/>
  <c r="O625" i="14"/>
  <c r="U624" i="14"/>
  <c r="T624" i="14"/>
  <c r="P624" i="14"/>
  <c r="O624" i="14"/>
  <c r="S623" i="14"/>
  <c r="R623" i="14"/>
  <c r="U623" i="14" s="1"/>
  <c r="Q623" i="14"/>
  <c r="T623" i="14" s="1"/>
  <c r="N623" i="14"/>
  <c r="M623" i="14"/>
  <c r="P623" i="14" s="1"/>
  <c r="L623" i="14"/>
  <c r="O623" i="14" s="1"/>
  <c r="S622" i="14"/>
  <c r="S620" i="14" s="1"/>
  <c r="R622" i="14"/>
  <c r="Q622" i="14"/>
  <c r="P622" i="14"/>
  <c r="O622" i="14"/>
  <c r="U621" i="14"/>
  <c r="T621" i="14"/>
  <c r="P621" i="14"/>
  <c r="O621" i="14"/>
  <c r="P620" i="14"/>
  <c r="O620" i="14"/>
  <c r="N620" i="14"/>
  <c r="M620" i="14"/>
  <c r="L620" i="14"/>
  <c r="N619" i="14"/>
  <c r="N617" i="14" s="1"/>
  <c r="M619" i="14"/>
  <c r="P619" i="14" s="1"/>
  <c r="L619" i="14"/>
  <c r="O619" i="14" s="1"/>
  <c r="S618" i="14"/>
  <c r="R618" i="14"/>
  <c r="Q618" i="14"/>
  <c r="P618" i="14"/>
  <c r="N618" i="14"/>
  <c r="M618" i="14"/>
  <c r="M617" i="14" s="1"/>
  <c r="P617" i="14" s="1"/>
  <c r="L618" i="14"/>
  <c r="U608" i="14"/>
  <c r="T608" i="14"/>
  <c r="P608" i="14"/>
  <c r="O608" i="14"/>
  <c r="U607" i="14"/>
  <c r="T607" i="14"/>
  <c r="P607" i="14"/>
  <c r="O607" i="14"/>
  <c r="S606" i="14"/>
  <c r="R606" i="14"/>
  <c r="U606" i="14" s="1"/>
  <c r="Q606" i="14"/>
  <c r="T606" i="14" s="1"/>
  <c r="N606" i="14"/>
  <c r="M606" i="14"/>
  <c r="P606" i="14" s="1"/>
  <c r="L606" i="14"/>
  <c r="O606" i="14" s="1"/>
  <c r="U605" i="14"/>
  <c r="T605" i="14"/>
  <c r="P605" i="14"/>
  <c r="O605" i="14"/>
  <c r="U604" i="14"/>
  <c r="T604" i="14"/>
  <c r="P604" i="14"/>
  <c r="O604" i="14"/>
  <c r="S603" i="14"/>
  <c r="R603" i="14"/>
  <c r="U603" i="14" s="1"/>
  <c r="Q603" i="14"/>
  <c r="T603" i="14" s="1"/>
  <c r="N603" i="14"/>
  <c r="M603" i="14"/>
  <c r="P603" i="14" s="1"/>
  <c r="L603" i="14"/>
  <c r="O603" i="14" s="1"/>
  <c r="U602" i="14"/>
  <c r="S602" i="14"/>
  <c r="R602" i="14"/>
  <c r="Q602" i="14"/>
  <c r="P602" i="14"/>
  <c r="O602" i="14"/>
  <c r="N602" i="14"/>
  <c r="M602" i="14"/>
  <c r="L602" i="14"/>
  <c r="U601" i="14"/>
  <c r="T601" i="14"/>
  <c r="S601" i="14"/>
  <c r="R601" i="14"/>
  <c r="Q601" i="14"/>
  <c r="O601" i="14"/>
  <c r="N601" i="14"/>
  <c r="N600" i="14" s="1"/>
  <c r="M601" i="14"/>
  <c r="P601" i="14" s="1"/>
  <c r="L601" i="14"/>
  <c r="S600" i="14"/>
  <c r="R600" i="14"/>
  <c r="U600" i="14" s="1"/>
  <c r="M600" i="14"/>
  <c r="P600" i="14" s="1"/>
  <c r="L600" i="14"/>
  <c r="O600" i="14" s="1"/>
  <c r="U585" i="14"/>
  <c r="T585" i="14"/>
  <c r="P585" i="14"/>
  <c r="O585" i="14"/>
  <c r="U584" i="14"/>
  <c r="T584" i="14"/>
  <c r="P584" i="14"/>
  <c r="O584" i="14"/>
  <c r="S583" i="14"/>
  <c r="R583" i="14"/>
  <c r="U583" i="14" s="1"/>
  <c r="Q583" i="14"/>
  <c r="T583" i="14" s="1"/>
  <c r="N583" i="14"/>
  <c r="M583" i="14"/>
  <c r="P583" i="14" s="1"/>
  <c r="L583" i="14"/>
  <c r="O583" i="14" s="1"/>
  <c r="U582" i="14"/>
  <c r="T582" i="14"/>
  <c r="P582" i="14"/>
  <c r="O582" i="14"/>
  <c r="U581" i="14"/>
  <c r="T581" i="14"/>
  <c r="P581" i="14"/>
  <c r="O581" i="14"/>
  <c r="S580" i="14"/>
  <c r="R580" i="14"/>
  <c r="U580" i="14" s="1"/>
  <c r="Q580" i="14"/>
  <c r="T580" i="14" s="1"/>
  <c r="N580" i="14"/>
  <c r="M580" i="14"/>
  <c r="P580" i="14" s="1"/>
  <c r="L580" i="14"/>
  <c r="O580" i="14" s="1"/>
  <c r="U579" i="14"/>
  <c r="S579" i="14"/>
  <c r="R579" i="14"/>
  <c r="Q579" i="14"/>
  <c r="P579" i="14"/>
  <c r="O579" i="14"/>
  <c r="N579" i="14"/>
  <c r="M579" i="14"/>
  <c r="L579" i="14"/>
  <c r="U578" i="14"/>
  <c r="T578" i="14"/>
  <c r="S578" i="14"/>
  <c r="R578" i="14"/>
  <c r="Q578" i="14"/>
  <c r="O578" i="14"/>
  <c r="N578" i="14"/>
  <c r="N577" i="14" s="1"/>
  <c r="M578" i="14"/>
  <c r="P578" i="14" s="1"/>
  <c r="L578" i="14"/>
  <c r="S577" i="14"/>
  <c r="R577" i="14"/>
  <c r="U577" i="14" s="1"/>
  <c r="M577" i="14"/>
  <c r="P577" i="14" s="1"/>
  <c r="L577" i="14"/>
  <c r="O577" i="14" s="1"/>
  <c r="K576" i="14"/>
  <c r="J576" i="14"/>
  <c r="I576" i="14"/>
  <c r="U564" i="14"/>
  <c r="T564" i="14"/>
  <c r="P564" i="14"/>
  <c r="O564" i="14"/>
  <c r="U563" i="14"/>
  <c r="T563" i="14"/>
  <c r="P563" i="14"/>
  <c r="O563" i="14"/>
  <c r="U562" i="14"/>
  <c r="T562" i="14"/>
  <c r="S562" i="14"/>
  <c r="R562" i="14"/>
  <c r="Q562" i="14"/>
  <c r="P562" i="14"/>
  <c r="O562" i="14"/>
  <c r="N562" i="14"/>
  <c r="M562" i="14"/>
  <c r="L562" i="14"/>
  <c r="U561" i="14"/>
  <c r="T561" i="14"/>
  <c r="P561" i="14"/>
  <c r="O561" i="14"/>
  <c r="U560" i="14"/>
  <c r="T560" i="14"/>
  <c r="P560" i="14"/>
  <c r="O560" i="14"/>
  <c r="U559" i="14"/>
  <c r="T559" i="14"/>
  <c r="S559" i="14"/>
  <c r="R559" i="14"/>
  <c r="Q559" i="14"/>
  <c r="P559" i="14"/>
  <c r="O559" i="14"/>
  <c r="N559" i="14"/>
  <c r="M559" i="14"/>
  <c r="L559" i="14"/>
  <c r="T558" i="14"/>
  <c r="S558" i="14"/>
  <c r="S556" i="14" s="1"/>
  <c r="R558" i="14"/>
  <c r="U558" i="14" s="1"/>
  <c r="Q558" i="14"/>
  <c r="N558" i="14"/>
  <c r="N556" i="14" s="1"/>
  <c r="M558" i="14"/>
  <c r="L558" i="14"/>
  <c r="O558" i="14" s="1"/>
  <c r="S557" i="14"/>
  <c r="R557" i="14"/>
  <c r="Q557" i="14"/>
  <c r="P557" i="14"/>
  <c r="N557" i="14"/>
  <c r="M557" i="14"/>
  <c r="L557" i="14"/>
  <c r="J555" i="14"/>
  <c r="I555" i="14"/>
  <c r="K555" i="14" s="1"/>
  <c r="U543" i="14"/>
  <c r="T543" i="14"/>
  <c r="P543" i="14"/>
  <c r="O543" i="14"/>
  <c r="U542" i="14"/>
  <c r="T542" i="14"/>
  <c r="P542" i="14"/>
  <c r="O542" i="14"/>
  <c r="S541" i="14"/>
  <c r="R541" i="14"/>
  <c r="U541" i="14" s="1"/>
  <c r="Q541" i="14"/>
  <c r="T541" i="14" s="1"/>
  <c r="N541" i="14"/>
  <c r="M541" i="14"/>
  <c r="P541" i="14" s="1"/>
  <c r="L541" i="14"/>
  <c r="O541" i="14" s="1"/>
  <c r="U540" i="14"/>
  <c r="T540" i="14"/>
  <c r="P540" i="14"/>
  <c r="O540" i="14"/>
  <c r="U539" i="14"/>
  <c r="T539" i="14"/>
  <c r="P539" i="14"/>
  <c r="O539" i="14"/>
  <c r="S538" i="14"/>
  <c r="R538" i="14"/>
  <c r="U538" i="14" s="1"/>
  <c r="Q538" i="14"/>
  <c r="T538" i="14" s="1"/>
  <c r="N538" i="14"/>
  <c r="M538" i="14"/>
  <c r="P538" i="14" s="1"/>
  <c r="L538" i="14"/>
  <c r="O538" i="14" s="1"/>
  <c r="U537" i="14"/>
  <c r="S537" i="14"/>
  <c r="R537" i="14"/>
  <c r="Q537" i="14"/>
  <c r="T537" i="14" s="1"/>
  <c r="P537" i="14"/>
  <c r="O537" i="14"/>
  <c r="N537" i="14"/>
  <c r="M537" i="14"/>
  <c r="L537" i="14"/>
  <c r="U536" i="14"/>
  <c r="T536" i="14"/>
  <c r="S536" i="14"/>
  <c r="R536" i="14"/>
  <c r="Q536" i="14"/>
  <c r="O536" i="14"/>
  <c r="N536" i="14"/>
  <c r="N535" i="14" s="1"/>
  <c r="M536" i="14"/>
  <c r="P536" i="14" s="1"/>
  <c r="L536" i="14"/>
  <c r="S535" i="14"/>
  <c r="R535" i="14"/>
  <c r="U535" i="14" s="1"/>
  <c r="Q535" i="14"/>
  <c r="T535" i="14" s="1"/>
  <c r="M535" i="14"/>
  <c r="P535" i="14" s="1"/>
  <c r="L535" i="14"/>
  <c r="O535" i="14" s="1"/>
  <c r="K534" i="14"/>
  <c r="J534" i="14"/>
  <c r="I534" i="14"/>
  <c r="K525" i="14"/>
  <c r="K524" i="14"/>
  <c r="U522" i="14"/>
  <c r="T522" i="14"/>
  <c r="N522" i="14"/>
  <c r="N520" i="14" s="1"/>
  <c r="M522" i="14"/>
  <c r="M520" i="14" s="1"/>
  <c r="P520" i="14" s="1"/>
  <c r="L522" i="14"/>
  <c r="U521" i="14"/>
  <c r="T521" i="14"/>
  <c r="P521" i="14"/>
  <c r="O521" i="14"/>
  <c r="U520" i="14"/>
  <c r="T520" i="14"/>
  <c r="S520" i="14"/>
  <c r="R520" i="14"/>
  <c r="Q520" i="14"/>
  <c r="U519" i="14"/>
  <c r="T519" i="14"/>
  <c r="N519" i="14"/>
  <c r="N517" i="14" s="1"/>
  <c r="M519" i="14"/>
  <c r="P519" i="14" s="1"/>
  <c r="L519" i="14"/>
  <c r="O519" i="14" s="1"/>
  <c r="U518" i="14"/>
  <c r="T518" i="14"/>
  <c r="P518" i="14"/>
  <c r="O518" i="14"/>
  <c r="S517" i="14"/>
  <c r="R517" i="14"/>
  <c r="U517" i="14" s="1"/>
  <c r="Q517" i="14"/>
  <c r="T517" i="14" s="1"/>
  <c r="U516" i="14"/>
  <c r="T516" i="14"/>
  <c r="S516" i="14"/>
  <c r="R516" i="14"/>
  <c r="Q516" i="14"/>
  <c r="T515" i="14"/>
  <c r="S515" i="14"/>
  <c r="S514" i="14" s="1"/>
  <c r="R515" i="14"/>
  <c r="U515" i="14" s="1"/>
  <c r="Q515" i="14"/>
  <c r="N515" i="14"/>
  <c r="M515" i="14"/>
  <c r="L515" i="14"/>
  <c r="O515" i="14" s="1"/>
  <c r="Q514" i="14"/>
  <c r="T514" i="14" s="1"/>
  <c r="K513" i="14"/>
  <c r="J513" i="14"/>
  <c r="I513" i="14"/>
  <c r="I510" i="14"/>
  <c r="K510" i="14" s="1"/>
  <c r="K509" i="14"/>
  <c r="I508" i="14"/>
  <c r="K508" i="14" s="1"/>
  <c r="I507" i="14"/>
  <c r="K507" i="14" s="1"/>
  <c r="I506" i="14"/>
  <c r="K506" i="14" s="1"/>
  <c r="I505" i="14"/>
  <c r="I504" i="14"/>
  <c r="K504" i="14" s="1"/>
  <c r="U502" i="14"/>
  <c r="T502" i="14"/>
  <c r="P502" i="14"/>
  <c r="O502" i="14"/>
  <c r="U501" i="14"/>
  <c r="T501" i="14"/>
  <c r="P501" i="14"/>
  <c r="O501" i="14"/>
  <c r="U500" i="14"/>
  <c r="S500" i="14"/>
  <c r="R500" i="14"/>
  <c r="Q500" i="14"/>
  <c r="T500" i="14" s="1"/>
  <c r="P500" i="14"/>
  <c r="O500" i="14"/>
  <c r="N500" i="14"/>
  <c r="M500" i="14"/>
  <c r="L500" i="14"/>
  <c r="S499" i="14"/>
  <c r="S496" i="14" s="1"/>
  <c r="S494" i="14" s="1"/>
  <c r="R499" i="14"/>
  <c r="Q499" i="14"/>
  <c r="P499" i="14"/>
  <c r="O499" i="14"/>
  <c r="U498" i="14"/>
  <c r="T498" i="14"/>
  <c r="P498" i="14"/>
  <c r="O498" i="14"/>
  <c r="N497" i="14"/>
  <c r="M497" i="14"/>
  <c r="P497" i="14" s="1"/>
  <c r="L497" i="14"/>
  <c r="O497" i="14" s="1"/>
  <c r="P496" i="14"/>
  <c r="N496" i="14"/>
  <c r="M496" i="14"/>
  <c r="L496" i="14"/>
  <c r="U495" i="14"/>
  <c r="T495" i="14"/>
  <c r="S495" i="14"/>
  <c r="R495" i="14"/>
  <c r="Q495" i="14"/>
  <c r="P495" i="14"/>
  <c r="O495" i="14"/>
  <c r="N495" i="14"/>
  <c r="M495" i="14"/>
  <c r="L495" i="14"/>
  <c r="N494" i="14"/>
  <c r="M494" i="14"/>
  <c r="P494" i="14" s="1"/>
  <c r="K486" i="14"/>
  <c r="J486" i="14"/>
  <c r="I486" i="14"/>
  <c r="J485" i="14"/>
  <c r="I485" i="14"/>
  <c r="K485" i="14" s="1"/>
  <c r="J484" i="14"/>
  <c r="J483" i="14"/>
  <c r="K478" i="14"/>
  <c r="J478" i="14"/>
  <c r="K477" i="14"/>
  <c r="J477" i="14"/>
  <c r="K476" i="14"/>
  <c r="J476" i="14"/>
  <c r="J469" i="14"/>
  <c r="J468" i="14"/>
  <c r="J461" i="14"/>
  <c r="J460" i="14"/>
  <c r="J459" i="14"/>
  <c r="I459" i="14"/>
  <c r="K459" i="14" s="1"/>
  <c r="J458" i="14"/>
  <c r="I458" i="14"/>
  <c r="I457" i="14" s="1"/>
  <c r="K457" i="14" s="1"/>
  <c r="J457" i="14"/>
  <c r="J448" i="14"/>
  <c r="J447" i="14"/>
  <c r="J441" i="14" s="1"/>
  <c r="J442" i="14"/>
  <c r="I442" i="14"/>
  <c r="K442" i="14" s="1"/>
  <c r="I441" i="14"/>
  <c r="J434" i="14"/>
  <c r="I434" i="14"/>
  <c r="K434" i="14" s="1"/>
  <c r="J433" i="14"/>
  <c r="I433" i="14"/>
  <c r="K433" i="14" s="1"/>
  <c r="J426" i="14"/>
  <c r="I426" i="14"/>
  <c r="K426" i="14" s="1"/>
  <c r="J425" i="14"/>
  <c r="I425" i="14"/>
  <c r="K425" i="14" s="1"/>
  <c r="J424" i="14"/>
  <c r="U422" i="14"/>
  <c r="T422" i="14"/>
  <c r="P422" i="14"/>
  <c r="O422" i="14"/>
  <c r="U421" i="14"/>
  <c r="T421" i="14"/>
  <c r="P421" i="14"/>
  <c r="O421" i="14"/>
  <c r="S420" i="14"/>
  <c r="R420" i="14"/>
  <c r="U420" i="14" s="1"/>
  <c r="Q420" i="14"/>
  <c r="T420" i="14" s="1"/>
  <c r="N420" i="14"/>
  <c r="M420" i="14"/>
  <c r="P420" i="14" s="1"/>
  <c r="L420" i="14"/>
  <c r="O420" i="14" s="1"/>
  <c r="S419" i="14"/>
  <c r="S416" i="14" s="1"/>
  <c r="S414" i="14" s="1"/>
  <c r="R419" i="14"/>
  <c r="Q419" i="14"/>
  <c r="P419" i="14"/>
  <c r="O419" i="14"/>
  <c r="U418" i="14"/>
  <c r="T418" i="14"/>
  <c r="P418" i="14"/>
  <c r="O418" i="14"/>
  <c r="P417" i="14"/>
  <c r="O417" i="14"/>
  <c r="N417" i="14"/>
  <c r="M417" i="14"/>
  <c r="L417" i="14"/>
  <c r="N416" i="14"/>
  <c r="M416" i="14"/>
  <c r="L416" i="14"/>
  <c r="O416" i="14" s="1"/>
  <c r="S415" i="14"/>
  <c r="R415" i="14"/>
  <c r="Q415" i="14"/>
  <c r="P415" i="14"/>
  <c r="N415" i="14"/>
  <c r="M415" i="14"/>
  <c r="L415" i="14"/>
  <c r="N414" i="14"/>
  <c r="J413" i="14"/>
  <c r="U401" i="14"/>
  <c r="T401" i="14"/>
  <c r="P401" i="14"/>
  <c r="O401" i="14"/>
  <c r="U400" i="14"/>
  <c r="T400" i="14"/>
  <c r="P400" i="14"/>
  <c r="O400" i="14"/>
  <c r="S399" i="14"/>
  <c r="R399" i="14"/>
  <c r="U399" i="14" s="1"/>
  <c r="Q399" i="14"/>
  <c r="T399" i="14" s="1"/>
  <c r="N399" i="14"/>
  <c r="M399" i="14"/>
  <c r="P399" i="14" s="1"/>
  <c r="L399" i="14"/>
  <c r="O399" i="14" s="1"/>
  <c r="U398" i="14"/>
  <c r="T398" i="14"/>
  <c r="P398" i="14"/>
  <c r="O398" i="14"/>
  <c r="U397" i="14"/>
  <c r="T397" i="14"/>
  <c r="P397" i="14"/>
  <c r="O397" i="14"/>
  <c r="S396" i="14"/>
  <c r="R396" i="14"/>
  <c r="U396" i="14" s="1"/>
  <c r="Q396" i="14"/>
  <c r="T396" i="14" s="1"/>
  <c r="N396" i="14"/>
  <c r="M396" i="14"/>
  <c r="P396" i="14" s="1"/>
  <c r="L396" i="14"/>
  <c r="O396" i="14" s="1"/>
  <c r="U395" i="14"/>
  <c r="S395" i="14"/>
  <c r="R395" i="14"/>
  <c r="Q395" i="14"/>
  <c r="T395" i="14" s="1"/>
  <c r="P395" i="14"/>
  <c r="O395" i="14"/>
  <c r="N395" i="14"/>
  <c r="M395" i="14"/>
  <c r="L395" i="14"/>
  <c r="U394" i="14"/>
  <c r="T394" i="14"/>
  <c r="S394" i="14"/>
  <c r="R394" i="14"/>
  <c r="Q394" i="14"/>
  <c r="O394" i="14"/>
  <c r="N394" i="14"/>
  <c r="N393" i="14" s="1"/>
  <c r="M394" i="14"/>
  <c r="P394" i="14" s="1"/>
  <c r="L394" i="14"/>
  <c r="S393" i="14"/>
  <c r="R393" i="14"/>
  <c r="U393" i="14" s="1"/>
  <c r="M393" i="14"/>
  <c r="P393" i="14" s="1"/>
  <c r="L393" i="14"/>
  <c r="O393" i="14" s="1"/>
  <c r="K392" i="14"/>
  <c r="J392" i="14"/>
  <c r="I392" i="14"/>
  <c r="J389" i="14"/>
  <c r="I389" i="14"/>
  <c r="K389" i="14" s="1"/>
  <c r="K388" i="14"/>
  <c r="J388" i="14"/>
  <c r="J387" i="14"/>
  <c r="I387" i="14"/>
  <c r="K386" i="14"/>
  <c r="J386" i="14"/>
  <c r="U384" i="14"/>
  <c r="T384" i="14"/>
  <c r="P384" i="14"/>
  <c r="O384" i="14"/>
  <c r="U383" i="14"/>
  <c r="T383" i="14"/>
  <c r="P383" i="14"/>
  <c r="O383" i="14"/>
  <c r="S382" i="14"/>
  <c r="R382" i="14"/>
  <c r="U382" i="14" s="1"/>
  <c r="Q382" i="14"/>
  <c r="T382" i="14" s="1"/>
  <c r="P382" i="14"/>
  <c r="N382" i="14"/>
  <c r="M382" i="14"/>
  <c r="L382" i="14"/>
  <c r="O382" i="14" s="1"/>
  <c r="S381" i="14"/>
  <c r="R381" i="14"/>
  <c r="Q381" i="14"/>
  <c r="P381" i="14"/>
  <c r="O381" i="14"/>
  <c r="U380" i="14"/>
  <c r="T380" i="14"/>
  <c r="P380" i="14"/>
  <c r="O380" i="14"/>
  <c r="O379" i="14"/>
  <c r="N379" i="14"/>
  <c r="M379" i="14"/>
  <c r="P379" i="14" s="1"/>
  <c r="L379" i="14"/>
  <c r="N378" i="14"/>
  <c r="M378" i="14"/>
  <c r="L378" i="14"/>
  <c r="O378" i="14" s="1"/>
  <c r="U377" i="14"/>
  <c r="S377" i="14"/>
  <c r="R377" i="14"/>
  <c r="Q377" i="14"/>
  <c r="P377" i="14"/>
  <c r="O377" i="14"/>
  <c r="N377" i="14"/>
  <c r="M377" i="14"/>
  <c r="L377" i="14"/>
  <c r="N376" i="14"/>
  <c r="D374" i="14"/>
  <c r="K373" i="14"/>
  <c r="J373" i="14"/>
  <c r="J372" i="14"/>
  <c r="J366" i="14" s="1"/>
  <c r="I372" i="14"/>
  <c r="K371" i="14"/>
  <c r="J371" i="14"/>
  <c r="J370" i="14"/>
  <c r="I370" i="14"/>
  <c r="J369" i="14"/>
  <c r="I369" i="14"/>
  <c r="K368" i="14"/>
  <c r="J368" i="14"/>
  <c r="U365" i="14"/>
  <c r="T365" i="14"/>
  <c r="N365" i="14"/>
  <c r="M365" i="14"/>
  <c r="L365" i="14"/>
  <c r="U364" i="14"/>
  <c r="T364" i="14"/>
  <c r="P364" i="14"/>
  <c r="O364" i="14"/>
  <c r="U363" i="14"/>
  <c r="T363" i="14"/>
  <c r="S363" i="14"/>
  <c r="R363" i="14"/>
  <c r="Q363" i="14"/>
  <c r="U362" i="14"/>
  <c r="T362" i="14"/>
  <c r="N362" i="14"/>
  <c r="N360" i="14" s="1"/>
  <c r="M362" i="14"/>
  <c r="L362" i="14"/>
  <c r="L360" i="14" s="1"/>
  <c r="U361" i="14"/>
  <c r="T361" i="14"/>
  <c r="P361" i="14"/>
  <c r="O361" i="14"/>
  <c r="S360" i="14"/>
  <c r="R360" i="14"/>
  <c r="U360" i="14" s="1"/>
  <c r="Q360" i="14"/>
  <c r="T360" i="14" s="1"/>
  <c r="U359" i="14"/>
  <c r="S359" i="14"/>
  <c r="R359" i="14"/>
  <c r="Q359" i="14"/>
  <c r="T359" i="14" s="1"/>
  <c r="U358" i="14"/>
  <c r="T358" i="14"/>
  <c r="S358" i="14"/>
  <c r="S357" i="14" s="1"/>
  <c r="R358" i="14"/>
  <c r="Q358" i="14"/>
  <c r="O358" i="14"/>
  <c r="N358" i="14"/>
  <c r="M358" i="14"/>
  <c r="P358" i="14" s="1"/>
  <c r="L358" i="14"/>
  <c r="R357" i="14"/>
  <c r="U357" i="14" s="1"/>
  <c r="Q357" i="14"/>
  <c r="T357" i="14" s="1"/>
  <c r="D355" i="14"/>
  <c r="J354" i="14"/>
  <c r="J353" i="14"/>
  <c r="D351" i="14"/>
  <c r="J350" i="14"/>
  <c r="J349" i="14"/>
  <c r="J348" i="14"/>
  <c r="J347" i="14"/>
  <c r="I347" i="14"/>
  <c r="J345" i="14"/>
  <c r="I345" i="14"/>
  <c r="I333" i="14" s="1"/>
  <c r="U342" i="14"/>
  <c r="T342" i="14"/>
  <c r="N342" i="14"/>
  <c r="N340" i="14" s="1"/>
  <c r="M342" i="14"/>
  <c r="P342" i="14" s="1"/>
  <c r="L342" i="14"/>
  <c r="L340" i="14" s="1"/>
  <c r="O340" i="14" s="1"/>
  <c r="U341" i="14"/>
  <c r="T341" i="14"/>
  <c r="P341" i="14"/>
  <c r="O341" i="14"/>
  <c r="S340" i="14"/>
  <c r="R340" i="14"/>
  <c r="U340" i="14" s="1"/>
  <c r="Q340" i="14"/>
  <c r="T340" i="14" s="1"/>
  <c r="U339" i="14"/>
  <c r="T339" i="14"/>
  <c r="N339" i="14"/>
  <c r="N337" i="14" s="1"/>
  <c r="M339" i="14"/>
  <c r="L339" i="14"/>
  <c r="U338" i="14"/>
  <c r="T338" i="14"/>
  <c r="P338" i="14"/>
  <c r="O338" i="14"/>
  <c r="U337" i="14"/>
  <c r="T337" i="14"/>
  <c r="S337" i="14"/>
  <c r="R337" i="14"/>
  <c r="Q337" i="14"/>
  <c r="T336" i="14"/>
  <c r="S336" i="14"/>
  <c r="S334" i="14" s="1"/>
  <c r="R336" i="14"/>
  <c r="U336" i="14" s="1"/>
  <c r="Q336" i="14"/>
  <c r="S335" i="14"/>
  <c r="R335" i="14"/>
  <c r="Q335" i="14"/>
  <c r="P335" i="14"/>
  <c r="N335" i="14"/>
  <c r="M335" i="14"/>
  <c r="L335" i="14"/>
  <c r="I331" i="14"/>
  <c r="I320" i="14" s="1"/>
  <c r="K320" i="14" s="1"/>
  <c r="U329" i="14"/>
  <c r="T329" i="14"/>
  <c r="N329" i="14"/>
  <c r="M329" i="14"/>
  <c r="P329" i="14" s="1"/>
  <c r="L329" i="14"/>
  <c r="L327" i="14" s="1"/>
  <c r="O327" i="14" s="1"/>
  <c r="U328" i="14"/>
  <c r="T328" i="14"/>
  <c r="P328" i="14"/>
  <c r="O328" i="14"/>
  <c r="S327" i="14"/>
  <c r="R327" i="14"/>
  <c r="U327" i="14" s="1"/>
  <c r="Q327" i="14"/>
  <c r="T327" i="14" s="1"/>
  <c r="U326" i="14"/>
  <c r="T326" i="14"/>
  <c r="N326" i="14"/>
  <c r="N324" i="14" s="1"/>
  <c r="M326" i="14"/>
  <c r="P326" i="14" s="1"/>
  <c r="L326" i="14"/>
  <c r="U325" i="14"/>
  <c r="T325" i="14"/>
  <c r="P325" i="14"/>
  <c r="O325" i="14"/>
  <c r="U324" i="14"/>
  <c r="T324" i="14"/>
  <c r="S324" i="14"/>
  <c r="R324" i="14"/>
  <c r="Q324" i="14"/>
  <c r="S323" i="14"/>
  <c r="R323" i="14"/>
  <c r="Q323" i="14"/>
  <c r="T323" i="14" s="1"/>
  <c r="U322" i="14"/>
  <c r="S322" i="14"/>
  <c r="R322" i="14"/>
  <c r="Q322" i="14"/>
  <c r="P322" i="14"/>
  <c r="O322" i="14"/>
  <c r="N322" i="14"/>
  <c r="M322" i="14"/>
  <c r="L322" i="14"/>
  <c r="S321" i="14"/>
  <c r="J320" i="14"/>
  <c r="I315" i="14"/>
  <c r="K315" i="14" s="1"/>
  <c r="U312" i="14"/>
  <c r="T312" i="14"/>
  <c r="N312" i="14"/>
  <c r="N310" i="14" s="1"/>
  <c r="M312" i="14"/>
  <c r="L312" i="14"/>
  <c r="U311" i="14"/>
  <c r="T311" i="14"/>
  <c r="P311" i="14"/>
  <c r="O311" i="14"/>
  <c r="U310" i="14"/>
  <c r="S310" i="14"/>
  <c r="R310" i="14"/>
  <c r="Q310" i="14"/>
  <c r="T310" i="14" s="1"/>
  <c r="S309" i="14"/>
  <c r="S306" i="14" s="1"/>
  <c r="R309" i="14"/>
  <c r="Q309" i="14"/>
  <c r="N309" i="14"/>
  <c r="N307" i="14" s="1"/>
  <c r="M309" i="14"/>
  <c r="L309" i="14"/>
  <c r="O309" i="14" s="1"/>
  <c r="U308" i="14"/>
  <c r="T308" i="14"/>
  <c r="P308" i="14"/>
  <c r="O308" i="14"/>
  <c r="S305" i="14"/>
  <c r="R305" i="14"/>
  <c r="Q305" i="14"/>
  <c r="T305" i="14" s="1"/>
  <c r="N305" i="14"/>
  <c r="M305" i="14"/>
  <c r="L305" i="14"/>
  <c r="J303" i="14"/>
  <c r="I297" i="14"/>
  <c r="K297" i="14" s="1"/>
  <c r="I296" i="14"/>
  <c r="K296" i="14" s="1"/>
  <c r="J294" i="14"/>
  <c r="I294" i="14"/>
  <c r="I281" i="14" s="1"/>
  <c r="I293" i="14"/>
  <c r="I282" i="14" s="1"/>
  <c r="K282" i="14" s="1"/>
  <c r="U291" i="14"/>
  <c r="T291" i="14"/>
  <c r="N291" i="14"/>
  <c r="N289" i="14" s="1"/>
  <c r="M291" i="14"/>
  <c r="P291" i="14" s="1"/>
  <c r="L291" i="14"/>
  <c r="L289" i="14" s="1"/>
  <c r="O289" i="14" s="1"/>
  <c r="U290" i="14"/>
  <c r="T290" i="14"/>
  <c r="P290" i="14"/>
  <c r="O290" i="14"/>
  <c r="T289" i="14"/>
  <c r="S289" i="14"/>
  <c r="R289" i="14"/>
  <c r="U289" i="14" s="1"/>
  <c r="Q289" i="14"/>
  <c r="U288" i="14"/>
  <c r="T288" i="14"/>
  <c r="N288" i="14"/>
  <c r="M288" i="14"/>
  <c r="L288" i="14"/>
  <c r="L286" i="14" s="1"/>
  <c r="U287" i="14"/>
  <c r="T287" i="14"/>
  <c r="P287" i="14"/>
  <c r="O287" i="14"/>
  <c r="U286" i="14"/>
  <c r="S286" i="14"/>
  <c r="R286" i="14"/>
  <c r="Q286" i="14"/>
  <c r="T286" i="14" s="1"/>
  <c r="U285" i="14"/>
  <c r="T285" i="14"/>
  <c r="S285" i="14"/>
  <c r="R285" i="14"/>
  <c r="Q285" i="14"/>
  <c r="S284" i="14"/>
  <c r="S283" i="14" s="1"/>
  <c r="R284" i="14"/>
  <c r="Q284" i="14"/>
  <c r="T284" i="14" s="1"/>
  <c r="N284" i="14"/>
  <c r="M284" i="14"/>
  <c r="L284" i="14"/>
  <c r="Q283" i="14"/>
  <c r="T283" i="14" s="1"/>
  <c r="J282" i="14"/>
  <c r="I277" i="14"/>
  <c r="K277" i="14" s="1"/>
  <c r="U275" i="14"/>
  <c r="T275" i="14"/>
  <c r="N275" i="14"/>
  <c r="N273" i="14" s="1"/>
  <c r="M275" i="14"/>
  <c r="L275" i="14"/>
  <c r="U274" i="14"/>
  <c r="T274" i="14"/>
  <c r="P274" i="14"/>
  <c r="O274" i="14"/>
  <c r="U273" i="14"/>
  <c r="T273" i="14"/>
  <c r="S273" i="14"/>
  <c r="R273" i="14"/>
  <c r="Q273" i="14"/>
  <c r="S272" i="14"/>
  <c r="S270" i="14" s="1"/>
  <c r="R272" i="14"/>
  <c r="R269" i="14" s="1"/>
  <c r="Q272" i="14"/>
  <c r="Q269" i="14" s="1"/>
  <c r="N272" i="14"/>
  <c r="N270" i="14" s="1"/>
  <c r="M272" i="14"/>
  <c r="L272" i="14"/>
  <c r="U271" i="14"/>
  <c r="T271" i="14"/>
  <c r="P271" i="14"/>
  <c r="O271" i="14"/>
  <c r="S268" i="14"/>
  <c r="R268" i="14"/>
  <c r="Q268" i="14"/>
  <c r="P268" i="14"/>
  <c r="N268" i="14"/>
  <c r="M268" i="14"/>
  <c r="L268" i="14"/>
  <c r="J266" i="14"/>
  <c r="K264" i="14"/>
  <c r="K263" i="14"/>
  <c r="I261" i="14"/>
  <c r="L259" i="14"/>
  <c r="L258" i="14"/>
  <c r="L257" i="14"/>
  <c r="L256" i="14"/>
  <c r="P255" i="14"/>
  <c r="N255" i="14"/>
  <c r="J254" i="14"/>
  <c r="K253" i="14"/>
  <c r="K252" i="14"/>
  <c r="I250" i="14"/>
  <c r="L248" i="14"/>
  <c r="L247" i="14"/>
  <c r="L246" i="14"/>
  <c r="L245" i="14"/>
  <c r="P244" i="14"/>
  <c r="N244" i="14"/>
  <c r="J243" i="14"/>
  <c r="J232" i="14" s="1"/>
  <c r="J186" i="14" s="1"/>
  <c r="K242" i="14"/>
  <c r="J242" i="14"/>
  <c r="I242" i="14"/>
  <c r="J241" i="14"/>
  <c r="I241" i="14"/>
  <c r="K241" i="14" s="1"/>
  <c r="J239" i="14"/>
  <c r="N237" i="14"/>
  <c r="N236" i="14"/>
  <c r="N235" i="14"/>
  <c r="N234" i="14"/>
  <c r="N233" i="14"/>
  <c r="I231" i="14"/>
  <c r="K231" i="14" s="1"/>
  <c r="I230" i="14"/>
  <c r="K230" i="14" s="1"/>
  <c r="I229" i="14"/>
  <c r="K229" i="14" s="1"/>
  <c r="L226" i="14"/>
  <c r="L225" i="14"/>
  <c r="L224" i="14"/>
  <c r="P223" i="14"/>
  <c r="N223" i="14"/>
  <c r="J222" i="14"/>
  <c r="I221" i="14"/>
  <c r="I220" i="14"/>
  <c r="K220" i="14" s="1"/>
  <c r="L218" i="14"/>
  <c r="L217" i="14"/>
  <c r="L216" i="14"/>
  <c r="P215" i="14"/>
  <c r="N215" i="14"/>
  <c r="J214" i="14"/>
  <c r="I213" i="14"/>
  <c r="K213" i="14" s="1"/>
  <c r="I212" i="14"/>
  <c r="K212" i="14" s="1"/>
  <c r="I210" i="14"/>
  <c r="L208" i="14"/>
  <c r="L207" i="14"/>
  <c r="L206" i="14"/>
  <c r="L205" i="14"/>
  <c r="P204" i="14"/>
  <c r="N204" i="14"/>
  <c r="J203" i="14"/>
  <c r="J200" i="14"/>
  <c r="I199" i="14"/>
  <c r="I196" i="14" s="1"/>
  <c r="K196" i="14" s="1"/>
  <c r="P197" i="14"/>
  <c r="L197" i="14"/>
  <c r="O197" i="14" s="1"/>
  <c r="J196" i="14"/>
  <c r="U195" i="14"/>
  <c r="T195" i="14"/>
  <c r="N195" i="14"/>
  <c r="N193" i="14" s="1"/>
  <c r="M195" i="14"/>
  <c r="L195" i="14"/>
  <c r="U194" i="14"/>
  <c r="T194" i="14"/>
  <c r="P194" i="14"/>
  <c r="O194" i="14"/>
  <c r="U193" i="14"/>
  <c r="T193" i="14"/>
  <c r="S193" i="14"/>
  <c r="R193" i="14"/>
  <c r="Q193" i="14"/>
  <c r="S192" i="14"/>
  <c r="R192" i="14"/>
  <c r="R189" i="14" s="1"/>
  <c r="Q192" i="14"/>
  <c r="Q190" i="14" s="1"/>
  <c r="N192" i="14"/>
  <c r="N190" i="14" s="1"/>
  <c r="M192" i="14"/>
  <c r="L192" i="14"/>
  <c r="U191" i="14"/>
  <c r="T191" i="14"/>
  <c r="P191" i="14"/>
  <c r="O191" i="14"/>
  <c r="S188" i="14"/>
  <c r="R188" i="14"/>
  <c r="Q188" i="14"/>
  <c r="P188" i="14"/>
  <c r="N188" i="14"/>
  <c r="M188" i="14"/>
  <c r="L188" i="14"/>
  <c r="K185" i="14"/>
  <c r="I184" i="14"/>
  <c r="K184" i="14" s="1"/>
  <c r="U182" i="14"/>
  <c r="T182" i="14"/>
  <c r="N182" i="14"/>
  <c r="N180" i="14" s="1"/>
  <c r="M182" i="14"/>
  <c r="L182" i="14"/>
  <c r="U181" i="14"/>
  <c r="T181" i="14"/>
  <c r="P181" i="14"/>
  <c r="O181" i="14"/>
  <c r="S180" i="14"/>
  <c r="R180" i="14"/>
  <c r="U180" i="14" s="1"/>
  <c r="Q180" i="14"/>
  <c r="T180" i="14" s="1"/>
  <c r="S179" i="14"/>
  <c r="S176" i="14" s="1"/>
  <c r="S174" i="14" s="1"/>
  <c r="R179" i="14"/>
  <c r="Q179" i="14"/>
  <c r="T179" i="14" s="1"/>
  <c r="N179" i="14"/>
  <c r="M179" i="14"/>
  <c r="L179" i="14"/>
  <c r="L177" i="14" s="1"/>
  <c r="U178" i="14"/>
  <c r="T178" i="14"/>
  <c r="P178" i="14"/>
  <c r="O178" i="14"/>
  <c r="U175" i="14"/>
  <c r="T175" i="14"/>
  <c r="S175" i="14"/>
  <c r="R175" i="14"/>
  <c r="Q175" i="14"/>
  <c r="O175" i="14"/>
  <c r="N175" i="14"/>
  <c r="M175" i="14"/>
  <c r="P175" i="14" s="1"/>
  <c r="L175" i="14"/>
  <c r="J173" i="14"/>
  <c r="I170" i="14"/>
  <c r="K170" i="14" s="1"/>
  <c r="I169" i="14"/>
  <c r="K169" i="14" s="1"/>
  <c r="I168" i="14"/>
  <c r="K168" i="14" s="1"/>
  <c r="U166" i="14"/>
  <c r="T166" i="14"/>
  <c r="N166" i="14"/>
  <c r="N164" i="14" s="1"/>
  <c r="M166" i="14"/>
  <c r="M164" i="14" s="1"/>
  <c r="P164" i="14" s="1"/>
  <c r="L166" i="14"/>
  <c r="O166" i="14" s="1"/>
  <c r="U165" i="14"/>
  <c r="T165" i="14"/>
  <c r="P165" i="14"/>
  <c r="O165" i="14"/>
  <c r="S164" i="14"/>
  <c r="R164" i="14"/>
  <c r="U164" i="14" s="1"/>
  <c r="Q164" i="14"/>
  <c r="T164" i="14" s="1"/>
  <c r="S163" i="14"/>
  <c r="S160" i="14" s="1"/>
  <c r="R163" i="14"/>
  <c r="R160" i="14" s="1"/>
  <c r="U160" i="14" s="1"/>
  <c r="Q161" i="14"/>
  <c r="T161" i="14" s="1"/>
  <c r="N163" i="14"/>
  <c r="N161" i="14" s="1"/>
  <c r="M163" i="14"/>
  <c r="L163" i="14"/>
  <c r="U162" i="14"/>
  <c r="T162" i="14"/>
  <c r="P162" i="14"/>
  <c r="O162" i="14"/>
  <c r="S159" i="14"/>
  <c r="R159" i="14"/>
  <c r="Q159" i="14"/>
  <c r="N159" i="14"/>
  <c r="M159" i="14"/>
  <c r="P159" i="14" s="1"/>
  <c r="L159" i="14"/>
  <c r="O159" i="14" s="1"/>
  <c r="J157" i="14"/>
  <c r="I155" i="14"/>
  <c r="I154" i="14"/>
  <c r="K154" i="14" s="1"/>
  <c r="I153" i="14"/>
  <c r="I138" i="14" s="1"/>
  <c r="K138" i="14" s="1"/>
  <c r="I152" i="14"/>
  <c r="K152" i="14" s="1"/>
  <c r="I151" i="14"/>
  <c r="K151" i="14" s="1"/>
  <c r="U148" i="14"/>
  <c r="T148" i="14"/>
  <c r="N148" i="14"/>
  <c r="N146" i="14" s="1"/>
  <c r="M148" i="14"/>
  <c r="M146" i="14" s="1"/>
  <c r="P146" i="14" s="1"/>
  <c r="L148" i="14"/>
  <c r="U147" i="14"/>
  <c r="T147" i="14"/>
  <c r="P147" i="14"/>
  <c r="O147" i="14"/>
  <c r="S146" i="14"/>
  <c r="R146" i="14"/>
  <c r="U146" i="14" s="1"/>
  <c r="Q146" i="14"/>
  <c r="T146" i="14" s="1"/>
  <c r="S145" i="14"/>
  <c r="S143" i="14" s="1"/>
  <c r="R145" i="14"/>
  <c r="Q145" i="14"/>
  <c r="N145" i="14"/>
  <c r="M145" i="14"/>
  <c r="M143" i="14" s="1"/>
  <c r="L145" i="14"/>
  <c r="L143" i="14" s="1"/>
  <c r="U144" i="14"/>
  <c r="T144" i="14"/>
  <c r="P144" i="14"/>
  <c r="O144" i="14"/>
  <c r="S141" i="14"/>
  <c r="R141" i="14"/>
  <c r="Q141" i="14"/>
  <c r="T141" i="14" s="1"/>
  <c r="N141" i="14"/>
  <c r="M141" i="14"/>
  <c r="L141" i="14"/>
  <c r="J139" i="14"/>
  <c r="J138" i="14"/>
  <c r="J137" i="14"/>
  <c r="I131" i="14"/>
  <c r="K131" i="14" s="1"/>
  <c r="I130" i="14"/>
  <c r="K130" i="14" s="1"/>
  <c r="I129" i="14"/>
  <c r="K129" i="14" s="1"/>
  <c r="I128" i="14"/>
  <c r="U126" i="14"/>
  <c r="T126" i="14"/>
  <c r="N126" i="14"/>
  <c r="N124" i="14" s="1"/>
  <c r="M126" i="14"/>
  <c r="L126" i="14"/>
  <c r="L124" i="14" s="1"/>
  <c r="O124" i="14" s="1"/>
  <c r="U125" i="14"/>
  <c r="T125" i="14"/>
  <c r="P125" i="14"/>
  <c r="O125" i="14"/>
  <c r="S124" i="14"/>
  <c r="R124" i="14"/>
  <c r="U124" i="14" s="1"/>
  <c r="Q124" i="14"/>
  <c r="T124" i="14" s="1"/>
  <c r="S123" i="14"/>
  <c r="R123" i="14"/>
  <c r="R121" i="14" s="1"/>
  <c r="Q123" i="14"/>
  <c r="Q120" i="14" s="1"/>
  <c r="N123" i="14"/>
  <c r="M123" i="14"/>
  <c r="L123" i="14"/>
  <c r="O123" i="14" s="1"/>
  <c r="U122" i="14"/>
  <c r="T122" i="14"/>
  <c r="P122" i="14"/>
  <c r="O122" i="14"/>
  <c r="U119" i="14"/>
  <c r="T119" i="14"/>
  <c r="S119" i="14"/>
  <c r="R119" i="14"/>
  <c r="Q119" i="14"/>
  <c r="N119" i="14"/>
  <c r="M119" i="14"/>
  <c r="P119" i="14" s="1"/>
  <c r="L119" i="14"/>
  <c r="O119" i="14" s="1"/>
  <c r="J117" i="14"/>
  <c r="I115" i="14"/>
  <c r="K115" i="14" s="1"/>
  <c r="I114" i="14"/>
  <c r="K114" i="14" s="1"/>
  <c r="I110" i="14"/>
  <c r="I109" i="14"/>
  <c r="U103" i="14"/>
  <c r="T103" i="14"/>
  <c r="N103" i="14"/>
  <c r="N101" i="14" s="1"/>
  <c r="M103" i="14"/>
  <c r="L103" i="14"/>
  <c r="U102" i="14"/>
  <c r="T102" i="14"/>
  <c r="P102" i="14"/>
  <c r="O102" i="14"/>
  <c r="U101" i="14"/>
  <c r="T101" i="14"/>
  <c r="S101" i="14"/>
  <c r="R101" i="14"/>
  <c r="Q101" i="14"/>
  <c r="S100" i="14"/>
  <c r="S97" i="14" s="1"/>
  <c r="R100" i="14"/>
  <c r="R97" i="14" s="1"/>
  <c r="Q100" i="14"/>
  <c r="Q97" i="14" s="1"/>
  <c r="N100" i="14"/>
  <c r="N98" i="14" s="1"/>
  <c r="M100" i="14"/>
  <c r="L100" i="14"/>
  <c r="U99" i="14"/>
  <c r="T99" i="14"/>
  <c r="P99" i="14"/>
  <c r="O99" i="14"/>
  <c r="S96" i="14"/>
  <c r="R96" i="14"/>
  <c r="U96" i="14" s="1"/>
  <c r="Q96" i="14"/>
  <c r="N96" i="14"/>
  <c r="M96" i="14"/>
  <c r="P96" i="14" s="1"/>
  <c r="L96" i="14"/>
  <c r="O96" i="14" s="1"/>
  <c r="J94" i="14"/>
  <c r="J93" i="14"/>
  <c r="I91" i="14"/>
  <c r="K91" i="14" s="1"/>
  <c r="I90" i="14"/>
  <c r="I89" i="14"/>
  <c r="K89" i="14" s="1"/>
  <c r="I88" i="14"/>
  <c r="K88" i="14" s="1"/>
  <c r="I87" i="14"/>
  <c r="K87" i="14" s="1"/>
  <c r="I86" i="14"/>
  <c r="K86" i="14" s="1"/>
  <c r="I85" i="14"/>
  <c r="K85" i="14" s="1"/>
  <c r="J84" i="14"/>
  <c r="J72" i="14" s="1"/>
  <c r="J83" i="14"/>
  <c r="U81" i="14"/>
  <c r="T81" i="14"/>
  <c r="N81" i="14"/>
  <c r="N79" i="14" s="1"/>
  <c r="M81" i="14"/>
  <c r="P81" i="14" s="1"/>
  <c r="L81" i="14"/>
  <c r="U80" i="14"/>
  <c r="T80" i="14"/>
  <c r="P80" i="14"/>
  <c r="O80" i="14"/>
  <c r="U79" i="14"/>
  <c r="T79" i="14"/>
  <c r="S79" i="14"/>
  <c r="R79" i="14"/>
  <c r="Q79" i="14"/>
  <c r="S78" i="14"/>
  <c r="S76" i="14" s="1"/>
  <c r="R78" i="14"/>
  <c r="R75" i="14" s="1"/>
  <c r="Q78" i="14"/>
  <c r="Q75" i="14" s="1"/>
  <c r="N78" i="14"/>
  <c r="M78" i="14"/>
  <c r="M76" i="14" s="1"/>
  <c r="L78" i="14"/>
  <c r="U77" i="14"/>
  <c r="T77" i="14"/>
  <c r="P77" i="14"/>
  <c r="O77" i="14"/>
  <c r="S74" i="14"/>
  <c r="R74" i="14"/>
  <c r="U74" i="14" s="1"/>
  <c r="Q74" i="14"/>
  <c r="T74" i="14" s="1"/>
  <c r="N74" i="14"/>
  <c r="M74" i="14"/>
  <c r="P74" i="14" s="1"/>
  <c r="L74" i="14"/>
  <c r="O74" i="14" s="1"/>
  <c r="J71" i="14"/>
  <c r="U68" i="14"/>
  <c r="T68" i="14"/>
  <c r="N68" i="14"/>
  <c r="M68" i="14"/>
  <c r="P68" i="14" s="1"/>
  <c r="L68" i="14"/>
  <c r="O68" i="14" s="1"/>
  <c r="U67" i="14"/>
  <c r="T67" i="14"/>
  <c r="P67" i="14"/>
  <c r="O67" i="14"/>
  <c r="U66" i="14"/>
  <c r="S66" i="14"/>
  <c r="R66" i="14"/>
  <c r="Q66" i="14"/>
  <c r="T66" i="14" s="1"/>
  <c r="U65" i="14"/>
  <c r="T65" i="14"/>
  <c r="N65" i="14"/>
  <c r="N63" i="14" s="1"/>
  <c r="M65" i="14"/>
  <c r="L65" i="14"/>
  <c r="U64" i="14"/>
  <c r="T64" i="14"/>
  <c r="P64" i="14"/>
  <c r="O64" i="14"/>
  <c r="T63" i="14"/>
  <c r="S63" i="14"/>
  <c r="R63" i="14"/>
  <c r="U63" i="14" s="1"/>
  <c r="Q63" i="14"/>
  <c r="S62" i="14"/>
  <c r="R62" i="14"/>
  <c r="Q62" i="14"/>
  <c r="U61" i="14"/>
  <c r="S61" i="14"/>
  <c r="R61" i="14"/>
  <c r="Q61" i="14"/>
  <c r="T61" i="14" s="1"/>
  <c r="P61" i="14"/>
  <c r="O61" i="14"/>
  <c r="N61" i="14"/>
  <c r="M61" i="14"/>
  <c r="L61" i="14"/>
  <c r="S60" i="14"/>
  <c r="U53" i="14"/>
  <c r="T53" i="14"/>
  <c r="N53" i="14"/>
  <c r="M53" i="14"/>
  <c r="M51" i="14" s="1"/>
  <c r="P51" i="14" s="1"/>
  <c r="L53" i="14"/>
  <c r="U52" i="14"/>
  <c r="T52" i="14"/>
  <c r="P52" i="14"/>
  <c r="O52" i="14"/>
  <c r="S51" i="14"/>
  <c r="R51" i="14"/>
  <c r="U51" i="14" s="1"/>
  <c r="Q51" i="14"/>
  <c r="T51" i="14" s="1"/>
  <c r="U50" i="14"/>
  <c r="T50" i="14"/>
  <c r="N50" i="14"/>
  <c r="N48" i="14" s="1"/>
  <c r="M50" i="14"/>
  <c r="L50" i="14"/>
  <c r="L47" i="14" s="1"/>
  <c r="U49" i="14"/>
  <c r="T49" i="14"/>
  <c r="P49" i="14"/>
  <c r="O49" i="14"/>
  <c r="T48" i="14"/>
  <c r="S48" i="14"/>
  <c r="R48" i="14"/>
  <c r="U48" i="14" s="1"/>
  <c r="Q48" i="14"/>
  <c r="S47" i="14"/>
  <c r="R47" i="14"/>
  <c r="Q47" i="14"/>
  <c r="U46" i="14"/>
  <c r="S46" i="14"/>
  <c r="R46" i="14"/>
  <c r="Q46" i="14"/>
  <c r="T46" i="14" s="1"/>
  <c r="P46" i="14"/>
  <c r="O46" i="14"/>
  <c r="N46" i="14"/>
  <c r="M46" i="14"/>
  <c r="L46" i="14"/>
  <c r="S45" i="14"/>
  <c r="S27" i="14"/>
  <c r="R27" i="14"/>
  <c r="U27" i="14" s="1"/>
  <c r="Q27" i="14"/>
  <c r="S26" i="14"/>
  <c r="R26" i="14"/>
  <c r="U26" i="14" s="1"/>
  <c r="Q26" i="14"/>
  <c r="T26" i="14" s="1"/>
  <c r="N26" i="14"/>
  <c r="M26" i="14"/>
  <c r="P26" i="14" s="1"/>
  <c r="L26" i="14"/>
  <c r="O26" i="14" s="1"/>
  <c r="S23" i="14"/>
  <c r="R23" i="14"/>
  <c r="U23" i="14" s="1"/>
  <c r="Q23" i="14"/>
  <c r="T23" i="14" s="1"/>
  <c r="N23" i="14"/>
  <c r="M23" i="14"/>
  <c r="P23" i="14" s="1"/>
  <c r="L23" i="14"/>
  <c r="O23" i="14" s="1"/>
  <c r="A788" i="13"/>
  <c r="J785" i="13"/>
  <c r="I785" i="13"/>
  <c r="J784" i="13"/>
  <c r="I784" i="13"/>
  <c r="J783" i="13"/>
  <c r="I783" i="13"/>
  <c r="K783" i="13" s="1"/>
  <c r="J782" i="13"/>
  <c r="I782" i="13"/>
  <c r="K782" i="13" s="1"/>
  <c r="J781" i="13"/>
  <c r="I781" i="13"/>
  <c r="J780" i="13"/>
  <c r="I780" i="13"/>
  <c r="J779" i="13"/>
  <c r="I779" i="13"/>
  <c r="J778" i="13"/>
  <c r="I778" i="13"/>
  <c r="H777" i="13"/>
  <c r="I776" i="13"/>
  <c r="I775" i="13"/>
  <c r="I774" i="13"/>
  <c r="I772" i="13"/>
  <c r="I770" i="13"/>
  <c r="K770" i="13" s="1"/>
  <c r="U768" i="13"/>
  <c r="T768" i="13"/>
  <c r="P768" i="13"/>
  <c r="O768" i="13"/>
  <c r="U767" i="13"/>
  <c r="T767" i="13"/>
  <c r="P767" i="13"/>
  <c r="O767" i="13"/>
  <c r="T766" i="13"/>
  <c r="S766" i="13"/>
  <c r="R766" i="13"/>
  <c r="U766" i="13" s="1"/>
  <c r="Q766" i="13"/>
  <c r="P766" i="13"/>
  <c r="N766" i="13"/>
  <c r="M766" i="13"/>
  <c r="L766" i="13"/>
  <c r="O766" i="13" s="1"/>
  <c r="S765" i="13"/>
  <c r="R765" i="13"/>
  <c r="R763" i="13" s="1"/>
  <c r="Q765" i="13"/>
  <c r="Q763" i="13" s="1"/>
  <c r="P765" i="13"/>
  <c r="O765" i="13"/>
  <c r="U764" i="13"/>
  <c r="T764" i="13"/>
  <c r="P764" i="13"/>
  <c r="O764" i="13"/>
  <c r="O763" i="13"/>
  <c r="N763" i="13"/>
  <c r="M763" i="13"/>
  <c r="P763" i="13" s="1"/>
  <c r="L763" i="13"/>
  <c r="O762" i="13"/>
  <c r="N762" i="13"/>
  <c r="M762" i="13"/>
  <c r="P762" i="13" s="1"/>
  <c r="L762" i="13"/>
  <c r="U761" i="13"/>
  <c r="S761" i="13"/>
  <c r="R761" i="13"/>
  <c r="Q761" i="13"/>
  <c r="T761" i="13" s="1"/>
  <c r="O761" i="13"/>
  <c r="N761" i="13"/>
  <c r="N760" i="13" s="1"/>
  <c r="M761" i="13"/>
  <c r="P761" i="13" s="1"/>
  <c r="L761" i="13"/>
  <c r="L760" i="13" s="1"/>
  <c r="O760" i="13" s="1"/>
  <c r="M760" i="13"/>
  <c r="P760" i="13" s="1"/>
  <c r="J759" i="13"/>
  <c r="J758" i="13"/>
  <c r="I756" i="13"/>
  <c r="K756" i="13" s="1"/>
  <c r="I753" i="13"/>
  <c r="K753" i="13" s="1"/>
  <c r="I750" i="13"/>
  <c r="K750" i="13" s="1"/>
  <c r="I747" i="13"/>
  <c r="K747" i="13" s="1"/>
  <c r="I745" i="13"/>
  <c r="K745" i="13" s="1"/>
  <c r="I743" i="13"/>
  <c r="K743" i="13" s="1"/>
  <c r="I741" i="13"/>
  <c r="K741" i="13" s="1"/>
  <c r="U737" i="13"/>
  <c r="T737" i="13"/>
  <c r="P737" i="13"/>
  <c r="O737" i="13"/>
  <c r="U736" i="13"/>
  <c r="T736" i="13"/>
  <c r="P736" i="13"/>
  <c r="O736" i="13"/>
  <c r="U735" i="13"/>
  <c r="S735" i="13"/>
  <c r="R735" i="13"/>
  <c r="Q735" i="13"/>
  <c r="T735" i="13" s="1"/>
  <c r="O735" i="13"/>
  <c r="N735" i="13"/>
  <c r="M735" i="13"/>
  <c r="P735" i="13" s="1"/>
  <c r="L735" i="13"/>
  <c r="S734" i="13"/>
  <c r="R734" i="13"/>
  <c r="R731" i="13" s="1"/>
  <c r="R729" i="13" s="1"/>
  <c r="Q734" i="13"/>
  <c r="Q731" i="13" s="1"/>
  <c r="P734" i="13"/>
  <c r="O734" i="13"/>
  <c r="U733" i="13"/>
  <c r="T733" i="13"/>
  <c r="P733" i="13"/>
  <c r="O733" i="13"/>
  <c r="N732" i="13"/>
  <c r="M732" i="13"/>
  <c r="P732" i="13" s="1"/>
  <c r="L732" i="13"/>
  <c r="O732" i="13" s="1"/>
  <c r="P731" i="13"/>
  <c r="N731" i="13"/>
  <c r="M731" i="13"/>
  <c r="L731" i="13"/>
  <c r="O731" i="13" s="1"/>
  <c r="U730" i="13"/>
  <c r="T730" i="13"/>
  <c r="S730" i="13"/>
  <c r="R730" i="13"/>
  <c r="Q730" i="13"/>
  <c r="P730" i="13"/>
  <c r="O730" i="13"/>
  <c r="N730" i="13"/>
  <c r="N729" i="13" s="1"/>
  <c r="M730" i="13"/>
  <c r="M729" i="13" s="1"/>
  <c r="P729" i="13" s="1"/>
  <c r="L730" i="13"/>
  <c r="L729" i="13"/>
  <c r="O729" i="13" s="1"/>
  <c r="J728" i="13"/>
  <c r="I728" i="13"/>
  <c r="K728" i="13" s="1"/>
  <c r="J727" i="13"/>
  <c r="I727" i="13"/>
  <c r="K727" i="13" s="1"/>
  <c r="U723" i="13"/>
  <c r="T723" i="13"/>
  <c r="P723" i="13"/>
  <c r="O723" i="13"/>
  <c r="U722" i="13"/>
  <c r="T722" i="13"/>
  <c r="P722" i="13"/>
  <c r="O722" i="13"/>
  <c r="T721" i="13"/>
  <c r="S721" i="13"/>
  <c r="R721" i="13"/>
  <c r="U721" i="13" s="1"/>
  <c r="Q721" i="13"/>
  <c r="N721" i="13"/>
  <c r="M721" i="13"/>
  <c r="P721" i="13" s="1"/>
  <c r="L721" i="13"/>
  <c r="O721" i="13" s="1"/>
  <c r="U720" i="13"/>
  <c r="T720" i="13"/>
  <c r="P720" i="13"/>
  <c r="O720" i="13"/>
  <c r="U719" i="13"/>
  <c r="T719" i="13"/>
  <c r="P719" i="13"/>
  <c r="O719" i="13"/>
  <c r="T718" i="13"/>
  <c r="S718" i="13"/>
  <c r="R718" i="13"/>
  <c r="U718" i="13" s="1"/>
  <c r="Q718" i="13"/>
  <c r="N718" i="13"/>
  <c r="M718" i="13"/>
  <c r="P718" i="13" s="1"/>
  <c r="L718" i="13"/>
  <c r="O718" i="13" s="1"/>
  <c r="S717" i="13"/>
  <c r="R717" i="13"/>
  <c r="U717" i="13" s="1"/>
  <c r="Q717" i="13"/>
  <c r="T717" i="13" s="1"/>
  <c r="P717" i="13"/>
  <c r="N717" i="13"/>
  <c r="M717" i="13"/>
  <c r="L717" i="13"/>
  <c r="O717" i="13" s="1"/>
  <c r="T716" i="13"/>
  <c r="S716" i="13"/>
  <c r="S715" i="13" s="1"/>
  <c r="R716" i="13"/>
  <c r="U716" i="13" s="1"/>
  <c r="Q716" i="13"/>
  <c r="Q715" i="13" s="1"/>
  <c r="T715" i="13" s="1"/>
  <c r="P716" i="13"/>
  <c r="N716" i="13"/>
  <c r="N715" i="13" s="1"/>
  <c r="M716" i="13"/>
  <c r="M715" i="13" s="1"/>
  <c r="P715" i="13" s="1"/>
  <c r="L716" i="13"/>
  <c r="O716" i="13" s="1"/>
  <c r="R715" i="13"/>
  <c r="U715" i="13" s="1"/>
  <c r="L715" i="13"/>
  <c r="O715" i="13" s="1"/>
  <c r="K713" i="13"/>
  <c r="J713" i="13"/>
  <c r="K711" i="13"/>
  <c r="J711" i="13"/>
  <c r="J710" i="13"/>
  <c r="I710" i="13"/>
  <c r="K709" i="13"/>
  <c r="J709" i="13"/>
  <c r="J708" i="13"/>
  <c r="J690" i="13" s="1"/>
  <c r="I708" i="13"/>
  <c r="K707" i="13"/>
  <c r="J707" i="13"/>
  <c r="J706" i="13"/>
  <c r="I706" i="13"/>
  <c r="K705" i="13"/>
  <c r="J705" i="13"/>
  <c r="J704" i="13"/>
  <c r="I704" i="13"/>
  <c r="K704" i="13" s="1"/>
  <c r="K703" i="13"/>
  <c r="I701" i="13"/>
  <c r="K701" i="13" s="1"/>
  <c r="U699" i="13"/>
  <c r="T699" i="13"/>
  <c r="P699" i="13"/>
  <c r="O699" i="13"/>
  <c r="U698" i="13"/>
  <c r="T698" i="13"/>
  <c r="P698" i="13"/>
  <c r="O698" i="13"/>
  <c r="S697" i="13"/>
  <c r="R697" i="13"/>
  <c r="U697" i="13" s="1"/>
  <c r="Q697" i="13"/>
  <c r="T697" i="13" s="1"/>
  <c r="O697" i="13"/>
  <c r="N697" i="13"/>
  <c r="M697" i="13"/>
  <c r="P697" i="13" s="1"/>
  <c r="L697" i="13"/>
  <c r="S696" i="13"/>
  <c r="R696" i="13"/>
  <c r="R694" i="13" s="1"/>
  <c r="Q696" i="13"/>
  <c r="P696" i="13"/>
  <c r="O696" i="13"/>
  <c r="U695" i="13"/>
  <c r="T695" i="13"/>
  <c r="P695" i="13"/>
  <c r="O695" i="13"/>
  <c r="P694" i="13"/>
  <c r="N694" i="13"/>
  <c r="M694" i="13"/>
  <c r="L694" i="13"/>
  <c r="O694" i="13" s="1"/>
  <c r="P693" i="13"/>
  <c r="N693" i="13"/>
  <c r="M693" i="13"/>
  <c r="L693" i="13"/>
  <c r="O693" i="13" s="1"/>
  <c r="T692" i="13"/>
  <c r="S692" i="13"/>
  <c r="R692" i="13"/>
  <c r="U692" i="13" s="1"/>
  <c r="Q692" i="13"/>
  <c r="P692" i="13"/>
  <c r="N692" i="13"/>
  <c r="M692" i="13"/>
  <c r="M691" i="13" s="1"/>
  <c r="P691" i="13" s="1"/>
  <c r="L692" i="13"/>
  <c r="O692" i="13" s="1"/>
  <c r="N691" i="13"/>
  <c r="J683" i="13"/>
  <c r="I683" i="13"/>
  <c r="K683" i="13" s="1"/>
  <c r="J682" i="13"/>
  <c r="I682" i="13"/>
  <c r="K682" i="13" s="1"/>
  <c r="J681" i="13"/>
  <c r="J680" i="13"/>
  <c r="I680" i="13"/>
  <c r="K680" i="13" s="1"/>
  <c r="J679" i="13"/>
  <c r="I679" i="13"/>
  <c r="K679" i="13" s="1"/>
  <c r="J678" i="13"/>
  <c r="J677" i="13"/>
  <c r="I677" i="13"/>
  <c r="K677" i="13" s="1"/>
  <c r="I676" i="13"/>
  <c r="K676" i="13" s="1"/>
  <c r="I675" i="13"/>
  <c r="K675" i="13" s="1"/>
  <c r="J674" i="13"/>
  <c r="I674" i="13"/>
  <c r="K674" i="13" s="1"/>
  <c r="J673" i="13"/>
  <c r="J672" i="13"/>
  <c r="J662" i="13"/>
  <c r="I662" i="13"/>
  <c r="K662" i="13" s="1"/>
  <c r="I661" i="13"/>
  <c r="I658" i="13"/>
  <c r="J655" i="13"/>
  <c r="I655" i="13"/>
  <c r="K655" i="13" s="1"/>
  <c r="J654" i="13"/>
  <c r="I654" i="13"/>
  <c r="K654" i="13" s="1"/>
  <c r="J653" i="13"/>
  <c r="I653" i="13"/>
  <c r="K653" i="13" s="1"/>
  <c r="U651" i="13"/>
  <c r="T651" i="13"/>
  <c r="P651" i="13"/>
  <c r="O651" i="13"/>
  <c r="U650" i="13"/>
  <c r="T650" i="13"/>
  <c r="P650" i="13"/>
  <c r="O650" i="13"/>
  <c r="S649" i="13"/>
  <c r="R649" i="13"/>
  <c r="U649" i="13" s="1"/>
  <c r="Q649" i="13"/>
  <c r="T649" i="13" s="1"/>
  <c r="N649" i="13"/>
  <c r="M649" i="13"/>
  <c r="P649" i="13" s="1"/>
  <c r="L649" i="13"/>
  <c r="O649" i="13" s="1"/>
  <c r="S648" i="13"/>
  <c r="S645" i="13" s="1"/>
  <c r="R648" i="13"/>
  <c r="R646" i="13" s="1"/>
  <c r="U646" i="13" s="1"/>
  <c r="Q648" i="13"/>
  <c r="P648" i="13"/>
  <c r="O648" i="13"/>
  <c r="U647" i="13"/>
  <c r="T647" i="13"/>
  <c r="P647" i="13"/>
  <c r="O647" i="13"/>
  <c r="P646" i="13"/>
  <c r="N646" i="13"/>
  <c r="M646" i="13"/>
  <c r="L646" i="13"/>
  <c r="O646" i="13" s="1"/>
  <c r="P645" i="13"/>
  <c r="N645" i="13"/>
  <c r="M645" i="13"/>
  <c r="L645" i="13"/>
  <c r="O645" i="13" s="1"/>
  <c r="T644" i="13"/>
  <c r="S644" i="13"/>
  <c r="R644" i="13"/>
  <c r="Q644" i="13"/>
  <c r="P644" i="13"/>
  <c r="N644" i="13"/>
  <c r="M644" i="13"/>
  <c r="M643" i="13" s="1"/>
  <c r="P643" i="13" s="1"/>
  <c r="L644" i="13"/>
  <c r="N643" i="13"/>
  <c r="J637" i="13"/>
  <c r="J636" i="13" s="1"/>
  <c r="I636" i="13"/>
  <c r="K636" i="13" s="1"/>
  <c r="J633" i="13"/>
  <c r="I629" i="13"/>
  <c r="K629" i="13" s="1"/>
  <c r="I628" i="13"/>
  <c r="K628" i="13" s="1"/>
  <c r="J627" i="13"/>
  <c r="I627" i="13"/>
  <c r="K627" i="13" s="1"/>
  <c r="U625" i="13"/>
  <c r="T625" i="13"/>
  <c r="P625" i="13"/>
  <c r="O625" i="13"/>
  <c r="U624" i="13"/>
  <c r="T624" i="13"/>
  <c r="P624" i="13"/>
  <c r="O624" i="13"/>
  <c r="T623" i="13"/>
  <c r="S623" i="13"/>
  <c r="R623" i="13"/>
  <c r="U623" i="13" s="1"/>
  <c r="Q623" i="13"/>
  <c r="P623" i="13"/>
  <c r="N623" i="13"/>
  <c r="M623" i="13"/>
  <c r="L623" i="13"/>
  <c r="O623" i="13" s="1"/>
  <c r="S622" i="13"/>
  <c r="S619" i="13" s="1"/>
  <c r="R622" i="13"/>
  <c r="Q622" i="13"/>
  <c r="P622" i="13"/>
  <c r="O622" i="13"/>
  <c r="U621" i="13"/>
  <c r="T621" i="13"/>
  <c r="P621" i="13"/>
  <c r="O621" i="13"/>
  <c r="O620" i="13"/>
  <c r="N620" i="13"/>
  <c r="M620" i="13"/>
  <c r="P620" i="13" s="1"/>
  <c r="L620" i="13"/>
  <c r="O619" i="13"/>
  <c r="N619" i="13"/>
  <c r="M619" i="13"/>
  <c r="P619" i="13" s="1"/>
  <c r="L619" i="13"/>
  <c r="U618" i="13"/>
  <c r="S618" i="13"/>
  <c r="R618" i="13"/>
  <c r="Q618" i="13"/>
  <c r="T618" i="13" s="1"/>
  <c r="O618" i="13"/>
  <c r="N618" i="13"/>
  <c r="N617" i="13" s="1"/>
  <c r="M618" i="13"/>
  <c r="L618" i="13"/>
  <c r="O617" i="13"/>
  <c r="L617" i="13"/>
  <c r="J616" i="13"/>
  <c r="U608" i="13"/>
  <c r="T608" i="13"/>
  <c r="P608" i="13"/>
  <c r="O608" i="13"/>
  <c r="U607" i="13"/>
  <c r="T607" i="13"/>
  <c r="P607" i="13"/>
  <c r="O607" i="13"/>
  <c r="S606" i="13"/>
  <c r="R606" i="13"/>
  <c r="U606" i="13" s="1"/>
  <c r="Q606" i="13"/>
  <c r="T606" i="13" s="1"/>
  <c r="N606" i="13"/>
  <c r="M606" i="13"/>
  <c r="P606" i="13" s="1"/>
  <c r="L606" i="13"/>
  <c r="O606" i="13" s="1"/>
  <c r="U605" i="13"/>
  <c r="T605" i="13"/>
  <c r="P605" i="13"/>
  <c r="O605" i="13"/>
  <c r="U604" i="13"/>
  <c r="T604" i="13"/>
  <c r="P604" i="13"/>
  <c r="O604" i="13"/>
  <c r="S603" i="13"/>
  <c r="R603" i="13"/>
  <c r="U603" i="13" s="1"/>
  <c r="Q603" i="13"/>
  <c r="T603" i="13" s="1"/>
  <c r="N603" i="13"/>
  <c r="M603" i="13"/>
  <c r="P603" i="13" s="1"/>
  <c r="L603" i="13"/>
  <c r="O603" i="13" s="1"/>
  <c r="S602" i="13"/>
  <c r="R602" i="13"/>
  <c r="U602" i="13" s="1"/>
  <c r="Q602" i="13"/>
  <c r="T602" i="13" s="1"/>
  <c r="N602" i="13"/>
  <c r="M602" i="13"/>
  <c r="P602" i="13" s="1"/>
  <c r="L602" i="13"/>
  <c r="O602" i="13" s="1"/>
  <c r="S601" i="13"/>
  <c r="R601" i="13"/>
  <c r="U601" i="13" s="1"/>
  <c r="Q601" i="13"/>
  <c r="T601" i="13" s="1"/>
  <c r="N601" i="13"/>
  <c r="N600" i="13" s="1"/>
  <c r="M601" i="13"/>
  <c r="P601" i="13" s="1"/>
  <c r="L601" i="13"/>
  <c r="O601" i="13" s="1"/>
  <c r="U585" i="13"/>
  <c r="T585" i="13"/>
  <c r="P585" i="13"/>
  <c r="O585" i="13"/>
  <c r="U584" i="13"/>
  <c r="T584" i="13"/>
  <c r="P584" i="13"/>
  <c r="O584" i="13"/>
  <c r="S583" i="13"/>
  <c r="R583" i="13"/>
  <c r="U583" i="13" s="1"/>
  <c r="Q583" i="13"/>
  <c r="T583" i="13" s="1"/>
  <c r="N583" i="13"/>
  <c r="M583" i="13"/>
  <c r="P583" i="13" s="1"/>
  <c r="L583" i="13"/>
  <c r="O583" i="13" s="1"/>
  <c r="U582" i="13"/>
  <c r="T582" i="13"/>
  <c r="P582" i="13"/>
  <c r="O582" i="13"/>
  <c r="U581" i="13"/>
  <c r="T581" i="13"/>
  <c r="P581" i="13"/>
  <c r="O581" i="13"/>
  <c r="S580" i="13"/>
  <c r="R580" i="13"/>
  <c r="U580" i="13" s="1"/>
  <c r="Q580" i="13"/>
  <c r="T580" i="13" s="1"/>
  <c r="N580" i="13"/>
  <c r="M580" i="13"/>
  <c r="P580" i="13" s="1"/>
  <c r="L580" i="13"/>
  <c r="O580" i="13" s="1"/>
  <c r="S579" i="13"/>
  <c r="R579" i="13"/>
  <c r="U579" i="13" s="1"/>
  <c r="Q579" i="13"/>
  <c r="T579" i="13" s="1"/>
  <c r="N579" i="13"/>
  <c r="M579" i="13"/>
  <c r="P579" i="13" s="1"/>
  <c r="L579" i="13"/>
  <c r="O579" i="13" s="1"/>
  <c r="S578" i="13"/>
  <c r="S577" i="13" s="1"/>
  <c r="R578" i="13"/>
  <c r="U578" i="13" s="1"/>
  <c r="Q578" i="13"/>
  <c r="Q577" i="13" s="1"/>
  <c r="T577" i="13" s="1"/>
  <c r="N578" i="13"/>
  <c r="N577" i="13" s="1"/>
  <c r="M578" i="13"/>
  <c r="P578" i="13" s="1"/>
  <c r="L578" i="13"/>
  <c r="O578" i="13" s="1"/>
  <c r="J576" i="13"/>
  <c r="I576" i="13"/>
  <c r="K576" i="13" s="1"/>
  <c r="U564" i="13"/>
  <c r="T564" i="13"/>
  <c r="P564" i="13"/>
  <c r="O564" i="13"/>
  <c r="U563" i="13"/>
  <c r="T563" i="13"/>
  <c r="P563" i="13"/>
  <c r="O563" i="13"/>
  <c r="S562" i="13"/>
  <c r="R562" i="13"/>
  <c r="U562" i="13" s="1"/>
  <c r="Q562" i="13"/>
  <c r="T562" i="13" s="1"/>
  <c r="N562" i="13"/>
  <c r="M562" i="13"/>
  <c r="P562" i="13" s="1"/>
  <c r="L562" i="13"/>
  <c r="O562" i="13" s="1"/>
  <c r="U561" i="13"/>
  <c r="T561" i="13"/>
  <c r="P561" i="13"/>
  <c r="O561" i="13"/>
  <c r="U560" i="13"/>
  <c r="T560" i="13"/>
  <c r="P560" i="13"/>
  <c r="O560" i="13"/>
  <c r="S559" i="13"/>
  <c r="R559" i="13"/>
  <c r="U559" i="13" s="1"/>
  <c r="Q559" i="13"/>
  <c r="T559" i="13" s="1"/>
  <c r="N559" i="13"/>
  <c r="M559" i="13"/>
  <c r="P559" i="13" s="1"/>
  <c r="L559" i="13"/>
  <c r="O559" i="13" s="1"/>
  <c r="S558" i="13"/>
  <c r="R558" i="13"/>
  <c r="U558" i="13" s="1"/>
  <c r="Q558" i="13"/>
  <c r="T558" i="13" s="1"/>
  <c r="N558" i="13"/>
  <c r="M558" i="13"/>
  <c r="P558" i="13" s="1"/>
  <c r="L558" i="13"/>
  <c r="O558" i="13" s="1"/>
  <c r="S557" i="13"/>
  <c r="R557" i="13"/>
  <c r="U557" i="13" s="1"/>
  <c r="Q557" i="13"/>
  <c r="Q556" i="13" s="1"/>
  <c r="T556" i="13" s="1"/>
  <c r="O557" i="13"/>
  <c r="N557" i="13"/>
  <c r="M557" i="13"/>
  <c r="L557" i="13"/>
  <c r="L556" i="13" s="1"/>
  <c r="O556" i="13" s="1"/>
  <c r="J555" i="13"/>
  <c r="I555" i="13"/>
  <c r="K555" i="13" s="1"/>
  <c r="U543" i="13"/>
  <c r="T543" i="13"/>
  <c r="P543" i="13"/>
  <c r="O543" i="13"/>
  <c r="U542" i="13"/>
  <c r="T542" i="13"/>
  <c r="P542" i="13"/>
  <c r="O542" i="13"/>
  <c r="S541" i="13"/>
  <c r="R541" i="13"/>
  <c r="U541" i="13" s="1"/>
  <c r="Q541" i="13"/>
  <c r="T541" i="13" s="1"/>
  <c r="N541" i="13"/>
  <c r="M541" i="13"/>
  <c r="P541" i="13" s="1"/>
  <c r="L541" i="13"/>
  <c r="O541" i="13" s="1"/>
  <c r="U540" i="13"/>
  <c r="T540" i="13"/>
  <c r="P540" i="13"/>
  <c r="O540" i="13"/>
  <c r="U539" i="13"/>
  <c r="T539" i="13"/>
  <c r="P539" i="13"/>
  <c r="O539" i="13"/>
  <c r="S538" i="13"/>
  <c r="R538" i="13"/>
  <c r="U538" i="13" s="1"/>
  <c r="Q538" i="13"/>
  <c r="T538" i="13" s="1"/>
  <c r="N538" i="13"/>
  <c r="M538" i="13"/>
  <c r="P538" i="13" s="1"/>
  <c r="L538" i="13"/>
  <c r="O538" i="13" s="1"/>
  <c r="S537" i="13"/>
  <c r="R537" i="13"/>
  <c r="Q537" i="13"/>
  <c r="T537" i="13" s="1"/>
  <c r="N537" i="13"/>
  <c r="M537" i="13"/>
  <c r="P537" i="13" s="1"/>
  <c r="L537" i="13"/>
  <c r="O537" i="13" s="1"/>
  <c r="S536" i="13"/>
  <c r="R536" i="13"/>
  <c r="U536" i="13" s="1"/>
  <c r="Q536" i="13"/>
  <c r="Q535" i="13" s="1"/>
  <c r="T535" i="13" s="1"/>
  <c r="N536" i="13"/>
  <c r="M536" i="13"/>
  <c r="L536" i="13"/>
  <c r="O536" i="13" s="1"/>
  <c r="N535" i="13"/>
  <c r="J534" i="13"/>
  <c r="I534" i="13"/>
  <c r="K534" i="13" s="1"/>
  <c r="K525" i="13"/>
  <c r="K524" i="13"/>
  <c r="U522" i="13"/>
  <c r="T522" i="13"/>
  <c r="N522" i="13"/>
  <c r="M522" i="13"/>
  <c r="P522" i="13" s="1"/>
  <c r="L522" i="13"/>
  <c r="L520" i="13" s="1"/>
  <c r="O520" i="13" s="1"/>
  <c r="U521" i="13"/>
  <c r="T521" i="13"/>
  <c r="P521" i="13"/>
  <c r="O521" i="13"/>
  <c r="S520" i="13"/>
  <c r="R520" i="13"/>
  <c r="U520" i="13" s="1"/>
  <c r="Q520" i="13"/>
  <c r="T520" i="13" s="1"/>
  <c r="U519" i="13"/>
  <c r="T519" i="13"/>
  <c r="N519" i="13"/>
  <c r="N517" i="13" s="1"/>
  <c r="M519" i="13"/>
  <c r="P519" i="13" s="1"/>
  <c r="L519" i="13"/>
  <c r="L517" i="13" s="1"/>
  <c r="O517" i="13" s="1"/>
  <c r="U518" i="13"/>
  <c r="T518" i="13"/>
  <c r="P518" i="13"/>
  <c r="O518" i="13"/>
  <c r="S517" i="13"/>
  <c r="R517" i="13"/>
  <c r="U517" i="13" s="1"/>
  <c r="Q517" i="13"/>
  <c r="T517" i="13" s="1"/>
  <c r="S516" i="13"/>
  <c r="R516" i="13"/>
  <c r="U516" i="13" s="1"/>
  <c r="Q516" i="13"/>
  <c r="S515" i="13"/>
  <c r="R515" i="13"/>
  <c r="Q515" i="13"/>
  <c r="T515" i="13" s="1"/>
  <c r="N515" i="13"/>
  <c r="M515" i="13"/>
  <c r="L515" i="13"/>
  <c r="O515" i="13" s="1"/>
  <c r="J513" i="13"/>
  <c r="I513" i="13"/>
  <c r="K513" i="13" s="1"/>
  <c r="I510" i="13"/>
  <c r="K510" i="13" s="1"/>
  <c r="K509" i="13"/>
  <c r="I508" i="13"/>
  <c r="K508" i="13" s="1"/>
  <c r="I507" i="13"/>
  <c r="K507" i="13" s="1"/>
  <c r="I506" i="13"/>
  <c r="K506" i="13" s="1"/>
  <c r="I505" i="13"/>
  <c r="K505" i="13" s="1"/>
  <c r="I504" i="13"/>
  <c r="K504" i="13" s="1"/>
  <c r="U502" i="13"/>
  <c r="T502" i="13"/>
  <c r="P502" i="13"/>
  <c r="O502" i="13"/>
  <c r="U501" i="13"/>
  <c r="T501" i="13"/>
  <c r="P501" i="13"/>
  <c r="O501" i="13"/>
  <c r="S500" i="13"/>
  <c r="R500" i="13"/>
  <c r="U500" i="13" s="1"/>
  <c r="Q500" i="13"/>
  <c r="T500" i="13" s="1"/>
  <c r="N500" i="13"/>
  <c r="M500" i="13"/>
  <c r="P500" i="13" s="1"/>
  <c r="L500" i="13"/>
  <c r="O500" i="13" s="1"/>
  <c r="S499" i="13"/>
  <c r="R499" i="13"/>
  <c r="U499" i="13" s="1"/>
  <c r="Q499" i="13"/>
  <c r="Q497" i="13" s="1"/>
  <c r="T497" i="13" s="1"/>
  <c r="P499" i="13"/>
  <c r="O499" i="13"/>
  <c r="U498" i="13"/>
  <c r="T498" i="13"/>
  <c r="P498" i="13"/>
  <c r="O498" i="13"/>
  <c r="N497" i="13"/>
  <c r="M497" i="13"/>
  <c r="P497" i="13" s="1"/>
  <c r="L497" i="13"/>
  <c r="O497" i="13" s="1"/>
  <c r="N496" i="13"/>
  <c r="M496" i="13"/>
  <c r="P496" i="13" s="1"/>
  <c r="L496" i="13"/>
  <c r="O496" i="13" s="1"/>
  <c r="S495" i="13"/>
  <c r="R495" i="13"/>
  <c r="Q495" i="13"/>
  <c r="T495" i="13" s="1"/>
  <c r="N495" i="13"/>
  <c r="M495" i="13"/>
  <c r="P495" i="13" s="1"/>
  <c r="L495" i="13"/>
  <c r="J486" i="13"/>
  <c r="I486" i="13"/>
  <c r="K486" i="13" s="1"/>
  <c r="J485" i="13"/>
  <c r="I485" i="13"/>
  <c r="K485" i="13" s="1"/>
  <c r="J484" i="13"/>
  <c r="J483" i="13"/>
  <c r="K478" i="13"/>
  <c r="J478" i="13"/>
  <c r="K477" i="13"/>
  <c r="J477" i="13"/>
  <c r="K476" i="13"/>
  <c r="J476" i="13"/>
  <c r="J469" i="13"/>
  <c r="J468" i="13"/>
  <c r="J461" i="13"/>
  <c r="J460" i="13"/>
  <c r="J458" i="13" s="1"/>
  <c r="J457" i="13" s="1"/>
  <c r="I459" i="13"/>
  <c r="K459" i="13" s="1"/>
  <c r="I458" i="13"/>
  <c r="K458" i="13" s="1"/>
  <c r="J448" i="13"/>
  <c r="J442" i="13" s="1"/>
  <c r="J447" i="13"/>
  <c r="J441" i="13" s="1"/>
  <c r="J424" i="13" s="1"/>
  <c r="J413" i="13" s="1"/>
  <c r="I442" i="13"/>
  <c r="K442" i="13" s="1"/>
  <c r="I441" i="13"/>
  <c r="J434" i="13"/>
  <c r="I434" i="13"/>
  <c r="K434" i="13" s="1"/>
  <c r="J433" i="13"/>
  <c r="I433" i="13"/>
  <c r="K433" i="13" s="1"/>
  <c r="J426" i="13"/>
  <c r="I426" i="13"/>
  <c r="K426" i="13" s="1"/>
  <c r="J425" i="13"/>
  <c r="I425" i="13"/>
  <c r="K425" i="13" s="1"/>
  <c r="U422" i="13"/>
  <c r="T422" i="13"/>
  <c r="P422" i="13"/>
  <c r="O422" i="13"/>
  <c r="U421" i="13"/>
  <c r="T421" i="13"/>
  <c r="P421" i="13"/>
  <c r="O421" i="13"/>
  <c r="S420" i="13"/>
  <c r="R420" i="13"/>
  <c r="U420" i="13" s="1"/>
  <c r="Q420" i="13"/>
  <c r="T420" i="13" s="1"/>
  <c r="N420" i="13"/>
  <c r="M420" i="13"/>
  <c r="P420" i="13" s="1"/>
  <c r="L420" i="13"/>
  <c r="O420" i="13" s="1"/>
  <c r="S419" i="13"/>
  <c r="R419" i="13"/>
  <c r="Q419" i="13"/>
  <c r="Q417" i="13" s="1"/>
  <c r="T417" i="13" s="1"/>
  <c r="P419" i="13"/>
  <c r="O419" i="13"/>
  <c r="U418" i="13"/>
  <c r="T418" i="13"/>
  <c r="P418" i="13"/>
  <c r="O418" i="13"/>
  <c r="N417" i="13"/>
  <c r="M417" i="13"/>
  <c r="P417" i="13" s="1"/>
  <c r="L417" i="13"/>
  <c r="O417" i="13" s="1"/>
  <c r="N416" i="13"/>
  <c r="M416" i="13"/>
  <c r="P416" i="13" s="1"/>
  <c r="L416" i="13"/>
  <c r="S415" i="13"/>
  <c r="R415" i="13"/>
  <c r="U415" i="13" s="1"/>
  <c r="Q415" i="13"/>
  <c r="T415" i="13" s="1"/>
  <c r="N415" i="13"/>
  <c r="N414" i="13" s="1"/>
  <c r="M415" i="13"/>
  <c r="M414" i="13" s="1"/>
  <c r="P414" i="13" s="1"/>
  <c r="L415" i="13"/>
  <c r="O415" i="13" s="1"/>
  <c r="U401" i="13"/>
  <c r="T401" i="13"/>
  <c r="P401" i="13"/>
  <c r="O401" i="13"/>
  <c r="U400" i="13"/>
  <c r="T400" i="13"/>
  <c r="P400" i="13"/>
  <c r="O400" i="13"/>
  <c r="S399" i="13"/>
  <c r="R399" i="13"/>
  <c r="U399" i="13" s="1"/>
  <c r="Q399" i="13"/>
  <c r="T399" i="13" s="1"/>
  <c r="N399" i="13"/>
  <c r="M399" i="13"/>
  <c r="P399" i="13" s="1"/>
  <c r="L399" i="13"/>
  <c r="O399" i="13" s="1"/>
  <c r="U398" i="13"/>
  <c r="T398" i="13"/>
  <c r="P398" i="13"/>
  <c r="O398" i="13"/>
  <c r="U397" i="13"/>
  <c r="T397" i="13"/>
  <c r="P397" i="13"/>
  <c r="O397" i="13"/>
  <c r="S396" i="13"/>
  <c r="R396" i="13"/>
  <c r="U396" i="13" s="1"/>
  <c r="Q396" i="13"/>
  <c r="T396" i="13" s="1"/>
  <c r="N396" i="13"/>
  <c r="M396" i="13"/>
  <c r="P396" i="13" s="1"/>
  <c r="L396" i="13"/>
  <c r="O396" i="13" s="1"/>
  <c r="S395" i="13"/>
  <c r="R395" i="13"/>
  <c r="U395" i="13" s="1"/>
  <c r="Q395" i="13"/>
  <c r="T395" i="13" s="1"/>
  <c r="N395" i="13"/>
  <c r="M395" i="13"/>
  <c r="P395" i="13" s="1"/>
  <c r="L395" i="13"/>
  <c r="O395" i="13" s="1"/>
  <c r="S394" i="13"/>
  <c r="R394" i="13"/>
  <c r="U394" i="13" s="1"/>
  <c r="Q394" i="13"/>
  <c r="T394" i="13" s="1"/>
  <c r="N394" i="13"/>
  <c r="N393" i="13" s="1"/>
  <c r="M394" i="13"/>
  <c r="P394" i="13" s="1"/>
  <c r="L394" i="13"/>
  <c r="O394" i="13" s="1"/>
  <c r="J392" i="13"/>
  <c r="I392" i="13"/>
  <c r="K392" i="13" s="1"/>
  <c r="K389" i="13"/>
  <c r="K388" i="13"/>
  <c r="I387" i="13"/>
  <c r="K387" i="13" s="1"/>
  <c r="I386" i="13"/>
  <c r="K386" i="13" s="1"/>
  <c r="U384" i="13"/>
  <c r="T384" i="13"/>
  <c r="P384" i="13"/>
  <c r="O384" i="13"/>
  <c r="U383" i="13"/>
  <c r="T383" i="13"/>
  <c r="P383" i="13"/>
  <c r="O383" i="13"/>
  <c r="S382" i="13"/>
  <c r="R382" i="13"/>
  <c r="U382" i="13" s="1"/>
  <c r="Q382" i="13"/>
  <c r="T382" i="13" s="1"/>
  <c r="N382" i="13"/>
  <c r="M382" i="13"/>
  <c r="P382" i="13" s="1"/>
  <c r="L382" i="13"/>
  <c r="O382" i="13" s="1"/>
  <c r="S381" i="13"/>
  <c r="S379" i="13" s="1"/>
  <c r="R381" i="13"/>
  <c r="Q379" i="13"/>
  <c r="T379" i="13" s="1"/>
  <c r="P381" i="13"/>
  <c r="O381" i="13"/>
  <c r="U380" i="13"/>
  <c r="T380" i="13"/>
  <c r="P380" i="13"/>
  <c r="O380" i="13"/>
  <c r="N379" i="13"/>
  <c r="M379" i="13"/>
  <c r="P379" i="13" s="1"/>
  <c r="L379" i="13"/>
  <c r="O379" i="13" s="1"/>
  <c r="N378" i="13"/>
  <c r="M378" i="13"/>
  <c r="P378" i="13" s="1"/>
  <c r="L378" i="13"/>
  <c r="O378" i="13" s="1"/>
  <c r="S377" i="13"/>
  <c r="R377" i="13"/>
  <c r="U377" i="13" s="1"/>
  <c r="Q377" i="13"/>
  <c r="T377" i="13" s="1"/>
  <c r="N377" i="13"/>
  <c r="N376" i="13" s="1"/>
  <c r="M377" i="13"/>
  <c r="L377" i="13"/>
  <c r="O377" i="13" s="1"/>
  <c r="J375" i="13"/>
  <c r="D374" i="13"/>
  <c r="K373" i="13"/>
  <c r="J373" i="13"/>
  <c r="J372" i="13"/>
  <c r="J366" i="13" s="1"/>
  <c r="I372" i="13"/>
  <c r="K371" i="13"/>
  <c r="J371" i="13"/>
  <c r="J370" i="13"/>
  <c r="I370" i="13"/>
  <c r="J369" i="13"/>
  <c r="I369" i="13"/>
  <c r="K368" i="13"/>
  <c r="J368" i="13"/>
  <c r="U365" i="13"/>
  <c r="T365" i="13"/>
  <c r="N365" i="13"/>
  <c r="N363" i="13" s="1"/>
  <c r="M365" i="13"/>
  <c r="M363" i="13" s="1"/>
  <c r="P363" i="13" s="1"/>
  <c r="L365" i="13"/>
  <c r="O365" i="13" s="1"/>
  <c r="U364" i="13"/>
  <c r="T364" i="13"/>
  <c r="P364" i="13"/>
  <c r="O364" i="13"/>
  <c r="U363" i="13"/>
  <c r="T363" i="13"/>
  <c r="S363" i="13"/>
  <c r="R363" i="13"/>
  <c r="Q363" i="13"/>
  <c r="U362" i="13"/>
  <c r="T362" i="13"/>
  <c r="N362" i="13"/>
  <c r="N360" i="13" s="1"/>
  <c r="M362" i="13"/>
  <c r="M360" i="13" s="1"/>
  <c r="L362" i="13"/>
  <c r="U361" i="13"/>
  <c r="T361" i="13"/>
  <c r="P361" i="13"/>
  <c r="O361" i="13"/>
  <c r="S360" i="13"/>
  <c r="R360" i="13"/>
  <c r="U360" i="13" s="1"/>
  <c r="Q360" i="13"/>
  <c r="T360" i="13" s="1"/>
  <c r="U359" i="13"/>
  <c r="S359" i="13"/>
  <c r="S357" i="13" s="1"/>
  <c r="R359" i="13"/>
  <c r="Q359" i="13"/>
  <c r="T359" i="13" s="1"/>
  <c r="U358" i="13"/>
  <c r="S358" i="13"/>
  <c r="R358" i="13"/>
  <c r="Q358" i="13"/>
  <c r="O358" i="13"/>
  <c r="N358" i="13"/>
  <c r="M358" i="13"/>
  <c r="P358" i="13" s="1"/>
  <c r="L358" i="13"/>
  <c r="R357" i="13"/>
  <c r="U357" i="13" s="1"/>
  <c r="D355" i="13"/>
  <c r="J354" i="13"/>
  <c r="J353" i="13"/>
  <c r="D351" i="13"/>
  <c r="J350" i="13"/>
  <c r="J349" i="13"/>
  <c r="J348" i="13"/>
  <c r="J347" i="13"/>
  <c r="I347" i="13"/>
  <c r="J345" i="13"/>
  <c r="I345" i="13"/>
  <c r="U342" i="13"/>
  <c r="T342" i="13"/>
  <c r="N342" i="13"/>
  <c r="N340" i="13" s="1"/>
  <c r="M342" i="13"/>
  <c r="M340" i="13" s="1"/>
  <c r="P340" i="13" s="1"/>
  <c r="L342" i="13"/>
  <c r="L340" i="13" s="1"/>
  <c r="O340" i="13" s="1"/>
  <c r="U341" i="13"/>
  <c r="T341" i="13"/>
  <c r="P341" i="13"/>
  <c r="O341" i="13"/>
  <c r="S340" i="13"/>
  <c r="R340" i="13"/>
  <c r="U340" i="13" s="1"/>
  <c r="Q340" i="13"/>
  <c r="T340" i="13" s="1"/>
  <c r="U339" i="13"/>
  <c r="T339" i="13"/>
  <c r="N339" i="13"/>
  <c r="N337" i="13" s="1"/>
  <c r="M339" i="13"/>
  <c r="M337" i="13" s="1"/>
  <c r="L339" i="13"/>
  <c r="U338" i="13"/>
  <c r="T338" i="13"/>
  <c r="P338" i="13"/>
  <c r="O338" i="13"/>
  <c r="S337" i="13"/>
  <c r="R337" i="13"/>
  <c r="U337" i="13" s="1"/>
  <c r="Q337" i="13"/>
  <c r="T337" i="13" s="1"/>
  <c r="S336" i="13"/>
  <c r="R336" i="13"/>
  <c r="U336" i="13" s="1"/>
  <c r="Q336" i="13"/>
  <c r="T336" i="13" s="1"/>
  <c r="S335" i="13"/>
  <c r="R335" i="13"/>
  <c r="U335" i="13" s="1"/>
  <c r="Q335" i="13"/>
  <c r="P335" i="13"/>
  <c r="N335" i="13"/>
  <c r="M335" i="13"/>
  <c r="L335" i="13"/>
  <c r="O335" i="13" s="1"/>
  <c r="I331" i="13"/>
  <c r="U329" i="13"/>
  <c r="T329" i="13"/>
  <c r="N329" i="13"/>
  <c r="N327" i="13" s="1"/>
  <c r="M329" i="13"/>
  <c r="L329" i="13"/>
  <c r="O329" i="13" s="1"/>
  <c r="U328" i="13"/>
  <c r="T328" i="13"/>
  <c r="P328" i="13"/>
  <c r="O328" i="13"/>
  <c r="S327" i="13"/>
  <c r="R327" i="13"/>
  <c r="U327" i="13" s="1"/>
  <c r="Q327" i="13"/>
  <c r="T327" i="13" s="1"/>
  <c r="U326" i="13"/>
  <c r="T326" i="13"/>
  <c r="N326" i="13"/>
  <c r="N324" i="13" s="1"/>
  <c r="M326" i="13"/>
  <c r="L326" i="13"/>
  <c r="U325" i="13"/>
  <c r="T325" i="13"/>
  <c r="P325" i="13"/>
  <c r="O325" i="13"/>
  <c r="U324" i="13"/>
  <c r="T324" i="13"/>
  <c r="S324" i="13"/>
  <c r="R324" i="13"/>
  <c r="Q324" i="13"/>
  <c r="U323" i="13"/>
  <c r="S323" i="13"/>
  <c r="R323" i="13"/>
  <c r="Q323" i="13"/>
  <c r="T323" i="13" s="1"/>
  <c r="U322" i="13"/>
  <c r="S322" i="13"/>
  <c r="R322" i="13"/>
  <c r="R321" i="13" s="1"/>
  <c r="Q322" i="13"/>
  <c r="T322" i="13" s="1"/>
  <c r="O322" i="13"/>
  <c r="N322" i="13"/>
  <c r="M322" i="13"/>
  <c r="L322" i="13"/>
  <c r="U321" i="13"/>
  <c r="Q321" i="13"/>
  <c r="T321" i="13" s="1"/>
  <c r="J320" i="13"/>
  <c r="I315" i="13"/>
  <c r="U312" i="13"/>
  <c r="T312" i="13"/>
  <c r="N312" i="13"/>
  <c r="N310" i="13" s="1"/>
  <c r="M312" i="13"/>
  <c r="P312" i="13" s="1"/>
  <c r="L312" i="13"/>
  <c r="O312" i="13" s="1"/>
  <c r="U311" i="13"/>
  <c r="T311" i="13"/>
  <c r="P311" i="13"/>
  <c r="O311" i="13"/>
  <c r="U310" i="13"/>
  <c r="S310" i="13"/>
  <c r="R310" i="13"/>
  <c r="Q310" i="13"/>
  <c r="T310" i="13" s="1"/>
  <c r="S309" i="13"/>
  <c r="S307" i="13" s="1"/>
  <c r="R309" i="13"/>
  <c r="R307" i="13" s="1"/>
  <c r="Q309" i="13"/>
  <c r="N309" i="13"/>
  <c r="N307" i="13" s="1"/>
  <c r="M309" i="13"/>
  <c r="L309" i="13"/>
  <c r="O309" i="13" s="1"/>
  <c r="U308" i="13"/>
  <c r="T308" i="13"/>
  <c r="P308" i="13"/>
  <c r="O308" i="13"/>
  <c r="S305" i="13"/>
  <c r="R305" i="13"/>
  <c r="Q305" i="13"/>
  <c r="T305" i="13" s="1"/>
  <c r="N305" i="13"/>
  <c r="M305" i="13"/>
  <c r="P305" i="13" s="1"/>
  <c r="L305" i="13"/>
  <c r="J303" i="13"/>
  <c r="I297" i="13"/>
  <c r="K297" i="13" s="1"/>
  <c r="I296" i="13"/>
  <c r="K296" i="13" s="1"/>
  <c r="J294" i="13"/>
  <c r="I294" i="13"/>
  <c r="K294" i="13" s="1"/>
  <c r="I293" i="13"/>
  <c r="K293" i="13" s="1"/>
  <c r="U291" i="13"/>
  <c r="T291" i="13"/>
  <c r="N291" i="13"/>
  <c r="N289" i="13" s="1"/>
  <c r="M291" i="13"/>
  <c r="P291" i="13" s="1"/>
  <c r="L291" i="13"/>
  <c r="L289" i="13" s="1"/>
  <c r="O289" i="13" s="1"/>
  <c r="U290" i="13"/>
  <c r="T290" i="13"/>
  <c r="P290" i="13"/>
  <c r="O290" i="13"/>
  <c r="T289" i="13"/>
  <c r="S289" i="13"/>
  <c r="R289" i="13"/>
  <c r="U289" i="13" s="1"/>
  <c r="Q289" i="13"/>
  <c r="U288" i="13"/>
  <c r="T288" i="13"/>
  <c r="N288" i="13"/>
  <c r="N286" i="13" s="1"/>
  <c r="M288" i="13"/>
  <c r="M286" i="13" s="1"/>
  <c r="L288" i="13"/>
  <c r="L286" i="13" s="1"/>
  <c r="U287" i="13"/>
  <c r="T287" i="13"/>
  <c r="P287" i="13"/>
  <c r="O287" i="13"/>
  <c r="S286" i="13"/>
  <c r="R286" i="13"/>
  <c r="U286" i="13" s="1"/>
  <c r="Q286" i="13"/>
  <c r="T286" i="13" s="1"/>
  <c r="S285" i="13"/>
  <c r="R285" i="13"/>
  <c r="U285" i="13" s="1"/>
  <c r="Q285" i="13"/>
  <c r="T285" i="13" s="1"/>
  <c r="S284" i="13"/>
  <c r="R284" i="13"/>
  <c r="Q284" i="13"/>
  <c r="N284" i="13"/>
  <c r="M284" i="13"/>
  <c r="L284" i="13"/>
  <c r="O284" i="13" s="1"/>
  <c r="S283" i="13"/>
  <c r="J282" i="13"/>
  <c r="J281" i="13"/>
  <c r="I277" i="13"/>
  <c r="U275" i="13"/>
  <c r="T275" i="13"/>
  <c r="N275" i="13"/>
  <c r="N273" i="13" s="1"/>
  <c r="M275" i="13"/>
  <c r="L275" i="13"/>
  <c r="U274" i="13"/>
  <c r="T274" i="13"/>
  <c r="P274" i="13"/>
  <c r="O274" i="13"/>
  <c r="T273" i="13"/>
  <c r="S273" i="13"/>
  <c r="R273" i="13"/>
  <c r="U273" i="13" s="1"/>
  <c r="Q273" i="13"/>
  <c r="S272" i="13"/>
  <c r="R272" i="13"/>
  <c r="Q272" i="13"/>
  <c r="Q269" i="13" s="1"/>
  <c r="N272" i="13"/>
  <c r="N270" i="13" s="1"/>
  <c r="M272" i="13"/>
  <c r="M270" i="13" s="1"/>
  <c r="L272" i="13"/>
  <c r="U271" i="13"/>
  <c r="T271" i="13"/>
  <c r="P271" i="13"/>
  <c r="O271" i="13"/>
  <c r="S268" i="13"/>
  <c r="R268" i="13"/>
  <c r="U268" i="13" s="1"/>
  <c r="Q268" i="13"/>
  <c r="T268" i="13" s="1"/>
  <c r="N268" i="13"/>
  <c r="M268" i="13"/>
  <c r="P268" i="13" s="1"/>
  <c r="L268" i="13"/>
  <c r="J266" i="13"/>
  <c r="K264" i="13"/>
  <c r="K263" i="13"/>
  <c r="I261" i="13"/>
  <c r="K261" i="13" s="1"/>
  <c r="L259" i="13"/>
  <c r="L258" i="13"/>
  <c r="L257" i="13"/>
  <c r="L256" i="13"/>
  <c r="P255" i="13"/>
  <c r="N255" i="13"/>
  <c r="J254" i="13"/>
  <c r="K253" i="13"/>
  <c r="K252" i="13"/>
  <c r="I250" i="13"/>
  <c r="I243" i="13" s="1"/>
  <c r="L248" i="13"/>
  <c r="L247" i="13"/>
  <c r="L246" i="13"/>
  <c r="L245" i="13"/>
  <c r="P244" i="13"/>
  <c r="N244" i="13"/>
  <c r="J243" i="13"/>
  <c r="K242" i="13"/>
  <c r="J242" i="13"/>
  <c r="I242" i="13"/>
  <c r="J241" i="13"/>
  <c r="I241" i="13"/>
  <c r="K241" i="13" s="1"/>
  <c r="J239" i="13"/>
  <c r="N237" i="13"/>
  <c r="N236" i="13"/>
  <c r="N235" i="13"/>
  <c r="N234" i="13"/>
  <c r="N233" i="13"/>
  <c r="J232" i="13"/>
  <c r="J186" i="13" s="1"/>
  <c r="I231" i="13"/>
  <c r="K231" i="13" s="1"/>
  <c r="I230" i="13"/>
  <c r="I222" i="13" s="1"/>
  <c r="I229" i="13"/>
  <c r="K229" i="13" s="1"/>
  <c r="L226" i="13"/>
  <c r="L225" i="13"/>
  <c r="L224" i="13"/>
  <c r="P223" i="13"/>
  <c r="N223" i="13"/>
  <c r="J222" i="13"/>
  <c r="I221" i="13"/>
  <c r="I214" i="13" s="1"/>
  <c r="K214" i="13" s="1"/>
  <c r="I220" i="13"/>
  <c r="K220" i="13" s="1"/>
  <c r="L218" i="13"/>
  <c r="L217" i="13"/>
  <c r="L216" i="13"/>
  <c r="P215" i="13"/>
  <c r="N215" i="13"/>
  <c r="J214" i="13"/>
  <c r="I213" i="13"/>
  <c r="K213" i="13" s="1"/>
  <c r="I212" i="13"/>
  <c r="K212" i="13" s="1"/>
  <c r="I210" i="13"/>
  <c r="K210" i="13" s="1"/>
  <c r="L208" i="13"/>
  <c r="L207" i="13"/>
  <c r="L206" i="13"/>
  <c r="L205" i="13"/>
  <c r="P204" i="13"/>
  <c r="N204" i="13"/>
  <c r="J203" i="13"/>
  <c r="J200" i="13"/>
  <c r="I199" i="13"/>
  <c r="K199" i="13" s="1"/>
  <c r="P197" i="13"/>
  <c r="L197" i="13"/>
  <c r="O197" i="13" s="1"/>
  <c r="J196" i="13"/>
  <c r="U195" i="13"/>
  <c r="T195" i="13"/>
  <c r="N195" i="13"/>
  <c r="M195" i="13"/>
  <c r="L195" i="13"/>
  <c r="U194" i="13"/>
  <c r="T194" i="13"/>
  <c r="P194" i="13"/>
  <c r="O194" i="13"/>
  <c r="U193" i="13"/>
  <c r="T193" i="13"/>
  <c r="S193" i="13"/>
  <c r="R193" i="13"/>
  <c r="Q193" i="13"/>
  <c r="N193" i="13"/>
  <c r="S192" i="13"/>
  <c r="S190" i="13" s="1"/>
  <c r="R192" i="13"/>
  <c r="R190" i="13" s="1"/>
  <c r="Q192" i="13"/>
  <c r="N192" i="13"/>
  <c r="N190" i="13" s="1"/>
  <c r="M192" i="13"/>
  <c r="L192" i="13"/>
  <c r="U191" i="13"/>
  <c r="T191" i="13"/>
  <c r="P191" i="13"/>
  <c r="O191" i="13"/>
  <c r="S188" i="13"/>
  <c r="R188" i="13"/>
  <c r="Q188" i="13"/>
  <c r="T188" i="13" s="1"/>
  <c r="P188" i="13"/>
  <c r="N188" i="13"/>
  <c r="M188" i="13"/>
  <c r="L188" i="13"/>
  <c r="O188" i="13" s="1"/>
  <c r="K185" i="13"/>
  <c r="I184" i="13"/>
  <c r="K184" i="13" s="1"/>
  <c r="U182" i="13"/>
  <c r="T182" i="13"/>
  <c r="N182" i="13"/>
  <c r="N180" i="13" s="1"/>
  <c r="M182" i="13"/>
  <c r="P182" i="13" s="1"/>
  <c r="L182" i="13"/>
  <c r="U181" i="13"/>
  <c r="T181" i="13"/>
  <c r="P181" i="13"/>
  <c r="O181" i="13"/>
  <c r="U180" i="13"/>
  <c r="T180" i="13"/>
  <c r="S180" i="13"/>
  <c r="R180" i="13"/>
  <c r="Q180" i="13"/>
  <c r="S179" i="13"/>
  <c r="S177" i="13" s="1"/>
  <c r="R179" i="13"/>
  <c r="R177" i="13" s="1"/>
  <c r="U177" i="13" s="1"/>
  <c r="Q179" i="13"/>
  <c r="T179" i="13" s="1"/>
  <c r="N179" i="13"/>
  <c r="N177" i="13" s="1"/>
  <c r="M179" i="13"/>
  <c r="L179" i="13"/>
  <c r="U178" i="13"/>
  <c r="T178" i="13"/>
  <c r="P178" i="13"/>
  <c r="O178" i="13"/>
  <c r="S175" i="13"/>
  <c r="R175" i="13"/>
  <c r="U175" i="13" s="1"/>
  <c r="Q175" i="13"/>
  <c r="O175" i="13"/>
  <c r="N175" i="13"/>
  <c r="M175" i="13"/>
  <c r="P175" i="13" s="1"/>
  <c r="L175" i="13"/>
  <c r="J173" i="13"/>
  <c r="I168" i="13"/>
  <c r="U166" i="13"/>
  <c r="T166" i="13"/>
  <c r="N166" i="13"/>
  <c r="N164" i="13" s="1"/>
  <c r="M166" i="13"/>
  <c r="P166" i="13" s="1"/>
  <c r="L166" i="13"/>
  <c r="U165" i="13"/>
  <c r="T165" i="13"/>
  <c r="P165" i="13"/>
  <c r="O165" i="13"/>
  <c r="U164" i="13"/>
  <c r="S164" i="13"/>
  <c r="R164" i="13"/>
  <c r="Q164" i="13"/>
  <c r="T164" i="13" s="1"/>
  <c r="S163" i="13"/>
  <c r="S161" i="13" s="1"/>
  <c r="R163" i="13"/>
  <c r="R161" i="13" s="1"/>
  <c r="U161" i="13" s="1"/>
  <c r="Q161" i="13"/>
  <c r="T161" i="13" s="1"/>
  <c r="N163" i="13"/>
  <c r="N161" i="13" s="1"/>
  <c r="M163" i="13"/>
  <c r="M161" i="13" s="1"/>
  <c r="L163" i="13"/>
  <c r="U162" i="13"/>
  <c r="T162" i="13"/>
  <c r="P162" i="13"/>
  <c r="O162" i="13"/>
  <c r="U159" i="13"/>
  <c r="T159" i="13"/>
  <c r="S159" i="13"/>
  <c r="R159" i="13"/>
  <c r="Q159" i="13"/>
  <c r="N159" i="13"/>
  <c r="M159" i="13"/>
  <c r="P159" i="13" s="1"/>
  <c r="L159" i="13"/>
  <c r="O159" i="13" s="1"/>
  <c r="J157" i="13"/>
  <c r="I155" i="13"/>
  <c r="K155" i="13" s="1"/>
  <c r="I154" i="13"/>
  <c r="I139" i="13" s="1"/>
  <c r="K139" i="13" s="1"/>
  <c r="I153" i="13"/>
  <c r="K153" i="13" s="1"/>
  <c r="I152" i="13"/>
  <c r="K152" i="13" s="1"/>
  <c r="I151" i="13"/>
  <c r="K151" i="13" s="1"/>
  <c r="U148" i="13"/>
  <c r="T148" i="13"/>
  <c r="N148" i="13"/>
  <c r="N146" i="13" s="1"/>
  <c r="M148" i="13"/>
  <c r="P148" i="13" s="1"/>
  <c r="L148" i="13"/>
  <c r="O148" i="13" s="1"/>
  <c r="U147" i="13"/>
  <c r="T147" i="13"/>
  <c r="P147" i="13"/>
  <c r="O147" i="13"/>
  <c r="S146" i="13"/>
  <c r="R146" i="13"/>
  <c r="U146" i="13" s="1"/>
  <c r="Q146" i="13"/>
  <c r="T146" i="13" s="1"/>
  <c r="S145" i="13"/>
  <c r="R145" i="13"/>
  <c r="U145" i="13" s="1"/>
  <c r="Q145" i="13"/>
  <c r="N145" i="13"/>
  <c r="N143" i="13" s="1"/>
  <c r="M145" i="13"/>
  <c r="P145" i="13" s="1"/>
  <c r="L145" i="13"/>
  <c r="O145" i="13" s="1"/>
  <c r="U144" i="13"/>
  <c r="T144" i="13"/>
  <c r="P144" i="13"/>
  <c r="O144" i="13"/>
  <c r="U141" i="13"/>
  <c r="S141" i="13"/>
  <c r="R141" i="13"/>
  <c r="Q141" i="13"/>
  <c r="T141" i="13" s="1"/>
  <c r="N141" i="13"/>
  <c r="M141" i="13"/>
  <c r="P141" i="13" s="1"/>
  <c r="L141" i="13"/>
  <c r="O141" i="13" s="1"/>
  <c r="J139" i="13"/>
  <c r="J138" i="13"/>
  <c r="J137" i="13"/>
  <c r="I131" i="13"/>
  <c r="K131" i="13" s="1"/>
  <c r="I130" i="13"/>
  <c r="K130" i="13" s="1"/>
  <c r="I129" i="13"/>
  <c r="K129" i="13" s="1"/>
  <c r="I128" i="13"/>
  <c r="U126" i="13"/>
  <c r="T126" i="13"/>
  <c r="N126" i="13"/>
  <c r="N124" i="13" s="1"/>
  <c r="M126" i="13"/>
  <c r="M124" i="13" s="1"/>
  <c r="P124" i="13" s="1"/>
  <c r="L126" i="13"/>
  <c r="U125" i="13"/>
  <c r="T125" i="13"/>
  <c r="P125" i="13"/>
  <c r="O125" i="13"/>
  <c r="S124" i="13"/>
  <c r="R124" i="13"/>
  <c r="U124" i="13" s="1"/>
  <c r="Q124" i="13"/>
  <c r="T124" i="13" s="1"/>
  <c r="S123" i="13"/>
  <c r="R123" i="13"/>
  <c r="R121" i="13" s="1"/>
  <c r="Q123" i="13"/>
  <c r="Q121" i="13" s="1"/>
  <c r="N123" i="13"/>
  <c r="N121" i="13" s="1"/>
  <c r="M123" i="13"/>
  <c r="P123" i="13" s="1"/>
  <c r="L123" i="13"/>
  <c r="O123" i="13" s="1"/>
  <c r="U122" i="13"/>
  <c r="T122" i="13"/>
  <c r="P122" i="13"/>
  <c r="O122" i="13"/>
  <c r="S119" i="13"/>
  <c r="R119" i="13"/>
  <c r="U119" i="13" s="1"/>
  <c r="Q119" i="13"/>
  <c r="T119" i="13" s="1"/>
  <c r="N119" i="13"/>
  <c r="M119" i="13"/>
  <c r="P119" i="13" s="1"/>
  <c r="L119" i="13"/>
  <c r="O119" i="13" s="1"/>
  <c r="J117" i="13"/>
  <c r="I115" i="13"/>
  <c r="K115" i="13" s="1"/>
  <c r="I114" i="13"/>
  <c r="K114" i="13" s="1"/>
  <c r="I110" i="13"/>
  <c r="K110" i="13" s="1"/>
  <c r="I109" i="13"/>
  <c r="U103" i="13"/>
  <c r="T103" i="13"/>
  <c r="N103" i="13"/>
  <c r="N101" i="13" s="1"/>
  <c r="M103" i="13"/>
  <c r="P103" i="13" s="1"/>
  <c r="L103" i="13"/>
  <c r="L101" i="13" s="1"/>
  <c r="O101" i="13" s="1"/>
  <c r="U102" i="13"/>
  <c r="T102" i="13"/>
  <c r="P102" i="13"/>
  <c r="O102" i="13"/>
  <c r="U101" i="13"/>
  <c r="T101" i="13"/>
  <c r="S101" i="13"/>
  <c r="R101" i="13"/>
  <c r="Q101" i="13"/>
  <c r="S100" i="13"/>
  <c r="S98" i="13" s="1"/>
  <c r="R100" i="13"/>
  <c r="R98" i="13" s="1"/>
  <c r="Q100" i="13"/>
  <c r="Q97" i="13" s="1"/>
  <c r="N100" i="13"/>
  <c r="N98" i="13" s="1"/>
  <c r="M100" i="13"/>
  <c r="M98" i="13" s="1"/>
  <c r="P98" i="13" s="1"/>
  <c r="L100" i="13"/>
  <c r="L98" i="13" s="1"/>
  <c r="O98" i="13" s="1"/>
  <c r="U99" i="13"/>
  <c r="T99" i="13"/>
  <c r="P99" i="13"/>
  <c r="O99" i="13"/>
  <c r="S96" i="13"/>
  <c r="R96" i="13"/>
  <c r="U96" i="13" s="1"/>
  <c r="Q96" i="13"/>
  <c r="T96" i="13" s="1"/>
  <c r="N96" i="13"/>
  <c r="M96" i="13"/>
  <c r="P96" i="13" s="1"/>
  <c r="L96" i="13"/>
  <c r="O96" i="13" s="1"/>
  <c r="J94" i="13"/>
  <c r="J93" i="13"/>
  <c r="I91" i="13"/>
  <c r="K91" i="13" s="1"/>
  <c r="I90" i="13"/>
  <c r="K90" i="13" s="1"/>
  <c r="I89" i="13"/>
  <c r="K89" i="13" s="1"/>
  <c r="I88" i="13"/>
  <c r="K88" i="13" s="1"/>
  <c r="I87" i="13"/>
  <c r="K87" i="13" s="1"/>
  <c r="I86" i="13"/>
  <c r="I85" i="13"/>
  <c r="J84" i="13"/>
  <c r="J72" i="13" s="1"/>
  <c r="J83" i="13"/>
  <c r="J71" i="13" s="1"/>
  <c r="U81" i="13"/>
  <c r="T81" i="13"/>
  <c r="N81" i="13"/>
  <c r="N79" i="13" s="1"/>
  <c r="M81" i="13"/>
  <c r="L81" i="13"/>
  <c r="O81" i="13" s="1"/>
  <c r="U80" i="13"/>
  <c r="T80" i="13"/>
  <c r="P80" i="13"/>
  <c r="O80" i="13"/>
  <c r="S79" i="13"/>
  <c r="R79" i="13"/>
  <c r="U79" i="13" s="1"/>
  <c r="Q79" i="13"/>
  <c r="T79" i="13" s="1"/>
  <c r="S78" i="13"/>
  <c r="S76" i="13" s="1"/>
  <c r="R78" i="13"/>
  <c r="R76" i="13" s="1"/>
  <c r="U76" i="13" s="1"/>
  <c r="N78" i="13"/>
  <c r="N76" i="13" s="1"/>
  <c r="M78" i="13"/>
  <c r="L78" i="13"/>
  <c r="U77" i="13"/>
  <c r="T77" i="13"/>
  <c r="P77" i="13"/>
  <c r="O77" i="13"/>
  <c r="S74" i="13"/>
  <c r="R74" i="13"/>
  <c r="U74" i="13" s="1"/>
  <c r="Q74" i="13"/>
  <c r="T74" i="13" s="1"/>
  <c r="P74" i="13"/>
  <c r="N74" i="13"/>
  <c r="M74" i="13"/>
  <c r="L74" i="13"/>
  <c r="O74" i="13" s="1"/>
  <c r="U68" i="13"/>
  <c r="T68" i="13"/>
  <c r="N68" i="13"/>
  <c r="N66" i="13" s="1"/>
  <c r="M68" i="13"/>
  <c r="M66" i="13" s="1"/>
  <c r="P66" i="13" s="1"/>
  <c r="L68" i="13"/>
  <c r="U67" i="13"/>
  <c r="T67" i="13"/>
  <c r="P67" i="13"/>
  <c r="O67" i="13"/>
  <c r="S66" i="13"/>
  <c r="R66" i="13"/>
  <c r="U66" i="13" s="1"/>
  <c r="Q66" i="13"/>
  <c r="T66" i="13" s="1"/>
  <c r="U65" i="13"/>
  <c r="T65" i="13"/>
  <c r="N65" i="13"/>
  <c r="N63" i="13" s="1"/>
  <c r="M65" i="13"/>
  <c r="L65" i="13"/>
  <c r="U64" i="13"/>
  <c r="T64" i="13"/>
  <c r="P64" i="13"/>
  <c r="O64" i="13"/>
  <c r="U63" i="13"/>
  <c r="T63" i="13"/>
  <c r="S63" i="13"/>
  <c r="R63" i="13"/>
  <c r="Q63" i="13"/>
  <c r="S62" i="13"/>
  <c r="S60" i="13" s="1"/>
  <c r="R62" i="13"/>
  <c r="U62" i="13" s="1"/>
  <c r="Q62" i="13"/>
  <c r="T62" i="13" s="1"/>
  <c r="U61" i="13"/>
  <c r="T61" i="13"/>
  <c r="S61" i="13"/>
  <c r="R61" i="13"/>
  <c r="Q61" i="13"/>
  <c r="P61" i="13"/>
  <c r="O61" i="13"/>
  <c r="N61" i="13"/>
  <c r="M61" i="13"/>
  <c r="L61" i="13"/>
  <c r="R60" i="13"/>
  <c r="U60" i="13" s="1"/>
  <c r="U53" i="13"/>
  <c r="T53" i="13"/>
  <c r="N53" i="13"/>
  <c r="M53" i="13"/>
  <c r="M51" i="13" s="1"/>
  <c r="P51" i="13" s="1"/>
  <c r="L53" i="13"/>
  <c r="L51" i="13" s="1"/>
  <c r="O51" i="13" s="1"/>
  <c r="U52" i="13"/>
  <c r="T52" i="13"/>
  <c r="P52" i="13"/>
  <c r="O52" i="13"/>
  <c r="S51" i="13"/>
  <c r="R51" i="13"/>
  <c r="U51" i="13" s="1"/>
  <c r="Q51" i="13"/>
  <c r="T51" i="13" s="1"/>
  <c r="U50" i="13"/>
  <c r="T50" i="13"/>
  <c r="N50" i="13"/>
  <c r="N48" i="13" s="1"/>
  <c r="M50" i="13"/>
  <c r="L50" i="13"/>
  <c r="U49" i="13"/>
  <c r="T49" i="13"/>
  <c r="P49" i="13"/>
  <c r="O49" i="13"/>
  <c r="U48" i="13"/>
  <c r="T48" i="13"/>
  <c r="S48" i="13"/>
  <c r="R48" i="13"/>
  <c r="Q48" i="13"/>
  <c r="T47" i="13"/>
  <c r="S47" i="13"/>
  <c r="R47" i="13"/>
  <c r="Q47" i="13"/>
  <c r="U46" i="13"/>
  <c r="S46" i="13"/>
  <c r="R46" i="13"/>
  <c r="Q46" i="13"/>
  <c r="Q45" i="13" s="1"/>
  <c r="T45" i="13" s="1"/>
  <c r="P46" i="13"/>
  <c r="O46" i="13"/>
  <c r="N46" i="13"/>
  <c r="M46" i="13"/>
  <c r="L46" i="13"/>
  <c r="S45" i="13"/>
  <c r="S27" i="13"/>
  <c r="R27" i="13"/>
  <c r="U27" i="13" s="1"/>
  <c r="Q27" i="13"/>
  <c r="T27" i="13" s="1"/>
  <c r="S26" i="13"/>
  <c r="R26" i="13"/>
  <c r="U26" i="13" s="1"/>
  <c r="Q26" i="13"/>
  <c r="T26" i="13" s="1"/>
  <c r="N26" i="13"/>
  <c r="M26" i="13"/>
  <c r="P26" i="13" s="1"/>
  <c r="L26" i="13"/>
  <c r="O26" i="13" s="1"/>
  <c r="S23" i="13"/>
  <c r="R23" i="13"/>
  <c r="U23" i="13" s="1"/>
  <c r="Q23" i="13"/>
  <c r="T23" i="13" s="1"/>
  <c r="N23" i="13"/>
  <c r="M23" i="13"/>
  <c r="L23" i="13"/>
  <c r="O23" i="13" s="1"/>
  <c r="A788" i="12"/>
  <c r="J785" i="12"/>
  <c r="I785" i="12"/>
  <c r="J784" i="12"/>
  <c r="I784" i="12"/>
  <c r="J783" i="12"/>
  <c r="I783" i="12"/>
  <c r="K783" i="12" s="1"/>
  <c r="J782" i="12"/>
  <c r="I782" i="12"/>
  <c r="K782" i="12" s="1"/>
  <c r="J781" i="12"/>
  <c r="I781" i="12"/>
  <c r="J780" i="12"/>
  <c r="I780" i="12"/>
  <c r="J779" i="12"/>
  <c r="I779" i="12"/>
  <c r="J778" i="12"/>
  <c r="I778" i="12"/>
  <c r="H777" i="12"/>
  <c r="I776" i="12"/>
  <c r="I775" i="12"/>
  <c r="I774" i="12"/>
  <c r="I772" i="12"/>
  <c r="K772" i="12" s="1"/>
  <c r="I770" i="12"/>
  <c r="K770" i="12" s="1"/>
  <c r="U768" i="12"/>
  <c r="T768" i="12"/>
  <c r="P768" i="12"/>
  <c r="O768" i="12"/>
  <c r="U767" i="12"/>
  <c r="T767" i="12"/>
  <c r="P767" i="12"/>
  <c r="O767" i="12"/>
  <c r="T766" i="12"/>
  <c r="S766" i="12"/>
  <c r="R766" i="12"/>
  <c r="U766" i="12" s="1"/>
  <c r="Q766" i="12"/>
  <c r="P766" i="12"/>
  <c r="N766" i="12"/>
  <c r="M766" i="12"/>
  <c r="L766" i="12"/>
  <c r="O766" i="12" s="1"/>
  <c r="S765" i="12"/>
  <c r="S762" i="12" s="1"/>
  <c r="S760" i="12" s="1"/>
  <c r="R765" i="12"/>
  <c r="Q765" i="12"/>
  <c r="P765" i="12"/>
  <c r="O765" i="12"/>
  <c r="U764" i="12"/>
  <c r="T764" i="12"/>
  <c r="P764" i="12"/>
  <c r="O764" i="12"/>
  <c r="O763" i="12"/>
  <c r="N763" i="12"/>
  <c r="M763" i="12"/>
  <c r="P763" i="12" s="1"/>
  <c r="L763" i="12"/>
  <c r="O762" i="12"/>
  <c r="N762" i="12"/>
  <c r="M762" i="12"/>
  <c r="P762" i="12" s="1"/>
  <c r="L762" i="12"/>
  <c r="U761" i="12"/>
  <c r="S761" i="12"/>
  <c r="R761" i="12"/>
  <c r="Q761" i="12"/>
  <c r="T761" i="12" s="1"/>
  <c r="O761" i="12"/>
  <c r="N761" i="12"/>
  <c r="N760" i="12" s="1"/>
  <c r="M761" i="12"/>
  <c r="P761" i="12" s="1"/>
  <c r="L761" i="12"/>
  <c r="L760" i="12" s="1"/>
  <c r="O760" i="12" s="1"/>
  <c r="M760" i="12"/>
  <c r="P760" i="12" s="1"/>
  <c r="J759" i="12"/>
  <c r="J758" i="12"/>
  <c r="I756" i="12"/>
  <c r="K756" i="12" s="1"/>
  <c r="I753" i="12"/>
  <c r="K753" i="12" s="1"/>
  <c r="I750" i="12"/>
  <c r="K750" i="12" s="1"/>
  <c r="I747" i="12"/>
  <c r="K747" i="12" s="1"/>
  <c r="I745" i="12"/>
  <c r="K745" i="12" s="1"/>
  <c r="I743" i="12"/>
  <c r="K743" i="12" s="1"/>
  <c r="I741" i="12"/>
  <c r="K741" i="12" s="1"/>
  <c r="U737" i="12"/>
  <c r="T737" i="12"/>
  <c r="P737" i="12"/>
  <c r="O737" i="12"/>
  <c r="U736" i="12"/>
  <c r="T736" i="12"/>
  <c r="P736" i="12"/>
  <c r="O736" i="12"/>
  <c r="U735" i="12"/>
  <c r="S735" i="12"/>
  <c r="R735" i="12"/>
  <c r="Q735" i="12"/>
  <c r="T735" i="12" s="1"/>
  <c r="O735" i="12"/>
  <c r="N735" i="12"/>
  <c r="M735" i="12"/>
  <c r="P735" i="12" s="1"/>
  <c r="L735" i="12"/>
  <c r="S734" i="12"/>
  <c r="R734" i="12"/>
  <c r="R732" i="12" s="1"/>
  <c r="Q734" i="12"/>
  <c r="Q732" i="12" s="1"/>
  <c r="P734" i="12"/>
  <c r="O734" i="12"/>
  <c r="U733" i="12"/>
  <c r="T733" i="12"/>
  <c r="P733" i="12"/>
  <c r="O733" i="12"/>
  <c r="N732" i="12"/>
  <c r="M732" i="12"/>
  <c r="P732" i="12" s="1"/>
  <c r="L732" i="12"/>
  <c r="O732" i="12" s="1"/>
  <c r="P731" i="12"/>
  <c r="N731" i="12"/>
  <c r="M731" i="12"/>
  <c r="L731" i="12"/>
  <c r="O731" i="12" s="1"/>
  <c r="T730" i="12"/>
  <c r="S730" i="12"/>
  <c r="R730" i="12"/>
  <c r="U730" i="12" s="1"/>
  <c r="Q730" i="12"/>
  <c r="P730" i="12"/>
  <c r="N730" i="12"/>
  <c r="N729" i="12" s="1"/>
  <c r="M730" i="12"/>
  <c r="M729" i="12" s="1"/>
  <c r="P729" i="12" s="1"/>
  <c r="L730" i="12"/>
  <c r="O730" i="12" s="1"/>
  <c r="L729" i="12"/>
  <c r="O729" i="12" s="1"/>
  <c r="J728" i="12"/>
  <c r="I728" i="12"/>
  <c r="K728" i="12" s="1"/>
  <c r="J727" i="12"/>
  <c r="I727" i="12"/>
  <c r="K727" i="12" s="1"/>
  <c r="U723" i="12"/>
  <c r="T723" i="12"/>
  <c r="P723" i="12"/>
  <c r="O723" i="12"/>
  <c r="U722" i="12"/>
  <c r="T722" i="12"/>
  <c r="P722" i="12"/>
  <c r="O722" i="12"/>
  <c r="T721" i="12"/>
  <c r="S721" i="12"/>
  <c r="R721" i="12"/>
  <c r="U721" i="12" s="1"/>
  <c r="Q721" i="12"/>
  <c r="N721" i="12"/>
  <c r="M721" i="12"/>
  <c r="P721" i="12" s="1"/>
  <c r="L721" i="12"/>
  <c r="O721" i="12" s="1"/>
  <c r="U720" i="12"/>
  <c r="T720" i="12"/>
  <c r="P720" i="12"/>
  <c r="O720" i="12"/>
  <c r="U719" i="12"/>
  <c r="T719" i="12"/>
  <c r="P719" i="12"/>
  <c r="O719" i="12"/>
  <c r="T718" i="12"/>
  <c r="S718" i="12"/>
  <c r="R718" i="12"/>
  <c r="U718" i="12" s="1"/>
  <c r="Q718" i="12"/>
  <c r="N718" i="12"/>
  <c r="M718" i="12"/>
  <c r="P718" i="12" s="1"/>
  <c r="L718" i="12"/>
  <c r="O718" i="12" s="1"/>
  <c r="S717" i="12"/>
  <c r="R717" i="12"/>
  <c r="U717" i="12" s="1"/>
  <c r="Q717" i="12"/>
  <c r="T717" i="12" s="1"/>
  <c r="P717" i="12"/>
  <c r="N717" i="12"/>
  <c r="M717" i="12"/>
  <c r="L717" i="12"/>
  <c r="O717" i="12" s="1"/>
  <c r="U716" i="12"/>
  <c r="T716" i="12"/>
  <c r="S716" i="12"/>
  <c r="S715" i="12" s="1"/>
  <c r="R716" i="12"/>
  <c r="Q716" i="12"/>
  <c r="Q715" i="12" s="1"/>
  <c r="T715" i="12" s="1"/>
  <c r="P716" i="12"/>
  <c r="O716" i="12"/>
  <c r="N716" i="12"/>
  <c r="N715" i="12" s="1"/>
  <c r="M716" i="12"/>
  <c r="M715" i="12" s="1"/>
  <c r="P715" i="12" s="1"/>
  <c r="L716" i="12"/>
  <c r="R715" i="12"/>
  <c r="U715" i="12" s="1"/>
  <c r="L715" i="12"/>
  <c r="O715" i="12" s="1"/>
  <c r="K713" i="12"/>
  <c r="J713" i="12"/>
  <c r="K711" i="12"/>
  <c r="J711" i="12"/>
  <c r="J710" i="12"/>
  <c r="I710" i="12"/>
  <c r="K709" i="12"/>
  <c r="J709" i="12"/>
  <c r="J708" i="12"/>
  <c r="J690" i="12" s="1"/>
  <c r="I708" i="12"/>
  <c r="K707" i="12"/>
  <c r="J707" i="12"/>
  <c r="J706" i="12"/>
  <c r="I706" i="12"/>
  <c r="K705" i="12"/>
  <c r="J705" i="12"/>
  <c r="J704" i="12"/>
  <c r="I704" i="12"/>
  <c r="K703" i="12"/>
  <c r="I701" i="12"/>
  <c r="K701" i="12" s="1"/>
  <c r="U699" i="12"/>
  <c r="T699" i="12"/>
  <c r="P699" i="12"/>
  <c r="O699" i="12"/>
  <c r="U698" i="12"/>
  <c r="T698" i="12"/>
  <c r="P698" i="12"/>
  <c r="O698" i="12"/>
  <c r="S697" i="12"/>
  <c r="R697" i="12"/>
  <c r="U697" i="12" s="1"/>
  <c r="Q697" i="12"/>
  <c r="T697" i="12" s="1"/>
  <c r="N697" i="12"/>
  <c r="M697" i="12"/>
  <c r="P697" i="12" s="1"/>
  <c r="L697" i="12"/>
  <c r="O697" i="12" s="1"/>
  <c r="S696" i="12"/>
  <c r="S694" i="12" s="1"/>
  <c r="R696" i="12"/>
  <c r="Q696" i="12"/>
  <c r="P696" i="12"/>
  <c r="O696" i="12"/>
  <c r="U695" i="12"/>
  <c r="T695" i="12"/>
  <c r="P695" i="12"/>
  <c r="O695" i="12"/>
  <c r="P694" i="12"/>
  <c r="N694" i="12"/>
  <c r="M694" i="12"/>
  <c r="L694" i="12"/>
  <c r="O694" i="12" s="1"/>
  <c r="P693" i="12"/>
  <c r="N693" i="12"/>
  <c r="M693" i="12"/>
  <c r="L693" i="12"/>
  <c r="O693" i="12" s="1"/>
  <c r="T692" i="12"/>
  <c r="S692" i="12"/>
  <c r="R692" i="12"/>
  <c r="U692" i="12" s="1"/>
  <c r="Q692" i="12"/>
  <c r="P692" i="12"/>
  <c r="N692" i="12"/>
  <c r="M692" i="12"/>
  <c r="M691" i="12" s="1"/>
  <c r="P691" i="12" s="1"/>
  <c r="L692" i="12"/>
  <c r="O692" i="12" s="1"/>
  <c r="N691" i="12"/>
  <c r="J683" i="12"/>
  <c r="I683" i="12"/>
  <c r="K683" i="12" s="1"/>
  <c r="J682" i="12"/>
  <c r="I682" i="12"/>
  <c r="K682" i="12" s="1"/>
  <c r="J681" i="12"/>
  <c r="J680" i="12"/>
  <c r="I680" i="12"/>
  <c r="K680" i="12" s="1"/>
  <c r="J679" i="12"/>
  <c r="I679" i="12"/>
  <c r="K679" i="12" s="1"/>
  <c r="J678" i="12"/>
  <c r="J677" i="12"/>
  <c r="I677" i="12"/>
  <c r="K677" i="12" s="1"/>
  <c r="I676" i="12"/>
  <c r="K676" i="12" s="1"/>
  <c r="I675" i="12"/>
  <c r="K675" i="12" s="1"/>
  <c r="J674" i="12"/>
  <c r="I674" i="12"/>
  <c r="K674" i="12" s="1"/>
  <c r="J673" i="12"/>
  <c r="J672" i="12"/>
  <c r="J662" i="12"/>
  <c r="I662" i="12"/>
  <c r="K662" i="12" s="1"/>
  <c r="I661" i="12"/>
  <c r="I658" i="12"/>
  <c r="J655" i="12"/>
  <c r="I655" i="12"/>
  <c r="K655" i="12" s="1"/>
  <c r="J654" i="12"/>
  <c r="I654" i="12"/>
  <c r="K654" i="12" s="1"/>
  <c r="J653" i="12"/>
  <c r="I653" i="12"/>
  <c r="K653" i="12" s="1"/>
  <c r="U651" i="12"/>
  <c r="T651" i="12"/>
  <c r="P651" i="12"/>
  <c r="O651" i="12"/>
  <c r="U650" i="12"/>
  <c r="T650" i="12"/>
  <c r="P650" i="12"/>
  <c r="O650" i="12"/>
  <c r="S649" i="12"/>
  <c r="R649" i="12"/>
  <c r="U649" i="12" s="1"/>
  <c r="Q649" i="12"/>
  <c r="T649" i="12" s="1"/>
  <c r="N649" i="12"/>
  <c r="M649" i="12"/>
  <c r="P649" i="12" s="1"/>
  <c r="L649" i="12"/>
  <c r="O649" i="12" s="1"/>
  <c r="S648" i="12"/>
  <c r="S646" i="12" s="1"/>
  <c r="R648" i="12"/>
  <c r="R646" i="12" s="1"/>
  <c r="U646" i="12" s="1"/>
  <c r="Q648" i="12"/>
  <c r="T648" i="12" s="1"/>
  <c r="P648" i="12"/>
  <c r="O648" i="12"/>
  <c r="U647" i="12"/>
  <c r="T647" i="12"/>
  <c r="P647" i="12"/>
  <c r="O647" i="12"/>
  <c r="P646" i="12"/>
  <c r="O646" i="12"/>
  <c r="N646" i="12"/>
  <c r="M646" i="12"/>
  <c r="L646" i="12"/>
  <c r="N645" i="12"/>
  <c r="M645" i="12"/>
  <c r="P645" i="12" s="1"/>
  <c r="L645" i="12"/>
  <c r="O645" i="12" s="1"/>
  <c r="S644" i="12"/>
  <c r="R644" i="12"/>
  <c r="U644" i="12" s="1"/>
  <c r="Q644" i="12"/>
  <c r="T644" i="12" s="1"/>
  <c r="P644" i="12"/>
  <c r="N644" i="12"/>
  <c r="M644" i="12"/>
  <c r="M643" i="12" s="1"/>
  <c r="P643" i="12" s="1"/>
  <c r="L644" i="12"/>
  <c r="O644" i="12" s="1"/>
  <c r="N643" i="12"/>
  <c r="J637" i="12"/>
  <c r="J636" i="12" s="1"/>
  <c r="I636" i="12"/>
  <c r="K636" i="12" s="1"/>
  <c r="J633" i="12"/>
  <c r="I629" i="12"/>
  <c r="K629" i="12" s="1"/>
  <c r="I628" i="12"/>
  <c r="K628" i="12" s="1"/>
  <c r="J627" i="12"/>
  <c r="I627" i="12"/>
  <c r="U625" i="12"/>
  <c r="T625" i="12"/>
  <c r="P625" i="12"/>
  <c r="O625" i="12"/>
  <c r="U624" i="12"/>
  <c r="T624" i="12"/>
  <c r="P624" i="12"/>
  <c r="O624" i="12"/>
  <c r="T623" i="12"/>
  <c r="S623" i="12"/>
  <c r="R623" i="12"/>
  <c r="U623" i="12" s="1"/>
  <c r="Q623" i="12"/>
  <c r="N623" i="12"/>
  <c r="M623" i="12"/>
  <c r="P623" i="12" s="1"/>
  <c r="L623" i="12"/>
  <c r="O623" i="12" s="1"/>
  <c r="S622" i="12"/>
  <c r="S620" i="12" s="1"/>
  <c r="R622" i="12"/>
  <c r="Q622" i="12"/>
  <c r="Q620" i="12" s="1"/>
  <c r="P622" i="12"/>
  <c r="O622" i="12"/>
  <c r="U621" i="12"/>
  <c r="T621" i="12"/>
  <c r="P621" i="12"/>
  <c r="O621" i="12"/>
  <c r="P620" i="12"/>
  <c r="O620" i="12"/>
  <c r="N620" i="12"/>
  <c r="M620" i="12"/>
  <c r="L620" i="12"/>
  <c r="O619" i="12"/>
  <c r="N619" i="12"/>
  <c r="M619" i="12"/>
  <c r="P619" i="12" s="1"/>
  <c r="L619" i="12"/>
  <c r="S618" i="12"/>
  <c r="R618" i="12"/>
  <c r="U618" i="12" s="1"/>
  <c r="Q618" i="12"/>
  <c r="N618" i="12"/>
  <c r="N617" i="12" s="1"/>
  <c r="M618" i="12"/>
  <c r="P618" i="12" s="1"/>
  <c r="L618" i="12"/>
  <c r="O618" i="12" s="1"/>
  <c r="O617" i="12"/>
  <c r="L617" i="12"/>
  <c r="J616" i="12"/>
  <c r="U608" i="12"/>
  <c r="T608" i="12"/>
  <c r="P608" i="12"/>
  <c r="O608" i="12"/>
  <c r="U607" i="12"/>
  <c r="T607" i="12"/>
  <c r="P607" i="12"/>
  <c r="O607" i="12"/>
  <c r="T606" i="12"/>
  <c r="S606" i="12"/>
  <c r="R606" i="12"/>
  <c r="U606" i="12" s="1"/>
  <c r="Q606" i="12"/>
  <c r="P606" i="12"/>
  <c r="N606" i="12"/>
  <c r="M606" i="12"/>
  <c r="L606" i="12"/>
  <c r="O606" i="12" s="1"/>
  <c r="U605" i="12"/>
  <c r="T605" i="12"/>
  <c r="P605" i="12"/>
  <c r="O605" i="12"/>
  <c r="U604" i="12"/>
  <c r="T604" i="12"/>
  <c r="P604" i="12"/>
  <c r="O604" i="12"/>
  <c r="T603" i="12"/>
  <c r="S603" i="12"/>
  <c r="R603" i="12"/>
  <c r="U603" i="12" s="1"/>
  <c r="Q603" i="12"/>
  <c r="P603" i="12"/>
  <c r="N603" i="12"/>
  <c r="M603" i="12"/>
  <c r="L603" i="12"/>
  <c r="O603" i="12" s="1"/>
  <c r="T602" i="12"/>
  <c r="S602" i="12"/>
  <c r="R602" i="12"/>
  <c r="U602" i="12" s="1"/>
  <c r="Q602" i="12"/>
  <c r="P602" i="12"/>
  <c r="N602" i="12"/>
  <c r="M602" i="12"/>
  <c r="L602" i="12"/>
  <c r="O602" i="12" s="1"/>
  <c r="T601" i="12"/>
  <c r="S601" i="12"/>
  <c r="S600" i="12" s="1"/>
  <c r="R601" i="12"/>
  <c r="U601" i="12" s="1"/>
  <c r="Q601" i="12"/>
  <c r="Q600" i="12" s="1"/>
  <c r="T600" i="12" s="1"/>
  <c r="P601" i="12"/>
  <c r="N601" i="12"/>
  <c r="N600" i="12" s="1"/>
  <c r="M601" i="12"/>
  <c r="M600" i="12" s="1"/>
  <c r="P600" i="12" s="1"/>
  <c r="L601" i="12"/>
  <c r="O601" i="12" s="1"/>
  <c r="R600" i="12"/>
  <c r="U600" i="12" s="1"/>
  <c r="L600" i="12"/>
  <c r="O600" i="12" s="1"/>
  <c r="U585" i="12"/>
  <c r="T585" i="12"/>
  <c r="P585" i="12"/>
  <c r="O585" i="12"/>
  <c r="U584" i="12"/>
  <c r="T584" i="12"/>
  <c r="P584" i="12"/>
  <c r="O584" i="12"/>
  <c r="T583" i="12"/>
  <c r="S583" i="12"/>
  <c r="R583" i="12"/>
  <c r="U583" i="12" s="1"/>
  <c r="Q583" i="12"/>
  <c r="N583" i="12"/>
  <c r="M583" i="12"/>
  <c r="P583" i="12" s="1"/>
  <c r="L583" i="12"/>
  <c r="O583" i="12" s="1"/>
  <c r="U582" i="12"/>
  <c r="T582" i="12"/>
  <c r="P582" i="12"/>
  <c r="O582" i="12"/>
  <c r="U581" i="12"/>
  <c r="T581" i="12"/>
  <c r="P581" i="12"/>
  <c r="O581" i="12"/>
  <c r="T580" i="12"/>
  <c r="S580" i="12"/>
  <c r="R580" i="12"/>
  <c r="U580" i="12" s="1"/>
  <c r="Q580" i="12"/>
  <c r="N580" i="12"/>
  <c r="M580" i="12"/>
  <c r="P580" i="12" s="1"/>
  <c r="L580" i="12"/>
  <c r="O580" i="12" s="1"/>
  <c r="S579" i="12"/>
  <c r="R579" i="12"/>
  <c r="U579" i="12" s="1"/>
  <c r="Q579" i="12"/>
  <c r="T579" i="12" s="1"/>
  <c r="P579" i="12"/>
  <c r="N579" i="12"/>
  <c r="M579" i="12"/>
  <c r="L579" i="12"/>
  <c r="O579" i="12" s="1"/>
  <c r="T578" i="12"/>
  <c r="S578" i="12"/>
  <c r="S577" i="12" s="1"/>
  <c r="R578" i="12"/>
  <c r="U578" i="12" s="1"/>
  <c r="Q578" i="12"/>
  <c r="Q577" i="12" s="1"/>
  <c r="T577" i="12" s="1"/>
  <c r="P578" i="12"/>
  <c r="N578" i="12"/>
  <c r="N577" i="12" s="1"/>
  <c r="M578" i="12"/>
  <c r="M577" i="12" s="1"/>
  <c r="P577" i="12" s="1"/>
  <c r="L578" i="12"/>
  <c r="O578" i="12" s="1"/>
  <c r="R577" i="12"/>
  <c r="U577" i="12" s="1"/>
  <c r="L577" i="12"/>
  <c r="O577" i="12" s="1"/>
  <c r="J576" i="12"/>
  <c r="I576" i="12"/>
  <c r="K576" i="12" s="1"/>
  <c r="U564" i="12"/>
  <c r="T564" i="12"/>
  <c r="P564" i="12"/>
  <c r="O564" i="12"/>
  <c r="U563" i="12"/>
  <c r="T563" i="12"/>
  <c r="P563" i="12"/>
  <c r="O563" i="12"/>
  <c r="U562" i="12"/>
  <c r="S562" i="12"/>
  <c r="R562" i="12"/>
  <c r="Q562" i="12"/>
  <c r="T562" i="12" s="1"/>
  <c r="O562" i="12"/>
  <c r="N562" i="12"/>
  <c r="M562" i="12"/>
  <c r="P562" i="12" s="1"/>
  <c r="L562" i="12"/>
  <c r="U561" i="12"/>
  <c r="T561" i="12"/>
  <c r="P561" i="12"/>
  <c r="O561" i="12"/>
  <c r="U560" i="12"/>
  <c r="T560" i="12"/>
  <c r="P560" i="12"/>
  <c r="O560" i="12"/>
  <c r="U559" i="12"/>
  <c r="S559" i="12"/>
  <c r="R559" i="12"/>
  <c r="Q559" i="12"/>
  <c r="T559" i="12" s="1"/>
  <c r="P559" i="12"/>
  <c r="O559" i="12"/>
  <c r="N559" i="12"/>
  <c r="M559" i="12"/>
  <c r="L559" i="12"/>
  <c r="U558" i="12"/>
  <c r="S558" i="12"/>
  <c r="R558" i="12"/>
  <c r="Q558" i="12"/>
  <c r="T558" i="12" s="1"/>
  <c r="O558" i="12"/>
  <c r="N558" i="12"/>
  <c r="M558" i="12"/>
  <c r="P558" i="12" s="1"/>
  <c r="L558" i="12"/>
  <c r="S557" i="12"/>
  <c r="S556" i="12" s="1"/>
  <c r="R557" i="12"/>
  <c r="U557" i="12" s="1"/>
  <c r="Q557" i="12"/>
  <c r="N557" i="12"/>
  <c r="N556" i="12" s="1"/>
  <c r="M557" i="12"/>
  <c r="P557" i="12" s="1"/>
  <c r="L557" i="12"/>
  <c r="O557" i="12" s="1"/>
  <c r="U556" i="12"/>
  <c r="R556" i="12"/>
  <c r="O556" i="12"/>
  <c r="L556" i="12"/>
  <c r="J555" i="12"/>
  <c r="I555" i="12"/>
  <c r="K555" i="12" s="1"/>
  <c r="U543" i="12"/>
  <c r="T543" i="12"/>
  <c r="P543" i="12"/>
  <c r="O543" i="12"/>
  <c r="U542" i="12"/>
  <c r="T542" i="12"/>
  <c r="P542" i="12"/>
  <c r="O542" i="12"/>
  <c r="T541" i="12"/>
  <c r="S541" i="12"/>
  <c r="R541" i="12"/>
  <c r="U541" i="12" s="1"/>
  <c r="Q541" i="12"/>
  <c r="P541" i="12"/>
  <c r="N541" i="12"/>
  <c r="M541" i="12"/>
  <c r="L541" i="12"/>
  <c r="O541" i="12" s="1"/>
  <c r="U540" i="12"/>
  <c r="T540" i="12"/>
  <c r="P540" i="12"/>
  <c r="O540" i="12"/>
  <c r="U539" i="12"/>
  <c r="T539" i="12"/>
  <c r="P539" i="12"/>
  <c r="O539" i="12"/>
  <c r="T538" i="12"/>
  <c r="S538" i="12"/>
  <c r="R538" i="12"/>
  <c r="U538" i="12" s="1"/>
  <c r="Q538" i="12"/>
  <c r="N538" i="12"/>
  <c r="M538" i="12"/>
  <c r="P538" i="12" s="1"/>
  <c r="L538" i="12"/>
  <c r="O538" i="12" s="1"/>
  <c r="S537" i="12"/>
  <c r="R537" i="12"/>
  <c r="U537" i="12" s="1"/>
  <c r="Q537" i="12"/>
  <c r="T537" i="12" s="1"/>
  <c r="P537" i="12"/>
  <c r="N537" i="12"/>
  <c r="M537" i="12"/>
  <c r="L537" i="12"/>
  <c r="O537" i="12" s="1"/>
  <c r="T536" i="12"/>
  <c r="S536" i="12"/>
  <c r="S535" i="12" s="1"/>
  <c r="R536" i="12"/>
  <c r="U536" i="12" s="1"/>
  <c r="Q536" i="12"/>
  <c r="Q535" i="12" s="1"/>
  <c r="T535" i="12" s="1"/>
  <c r="P536" i="12"/>
  <c r="N536" i="12"/>
  <c r="N535" i="12" s="1"/>
  <c r="M536" i="12"/>
  <c r="M535" i="12" s="1"/>
  <c r="P535" i="12" s="1"/>
  <c r="L536" i="12"/>
  <c r="O536" i="12" s="1"/>
  <c r="R535" i="12"/>
  <c r="U535" i="12" s="1"/>
  <c r="L535" i="12"/>
  <c r="O535" i="12" s="1"/>
  <c r="J534" i="12"/>
  <c r="I534" i="12"/>
  <c r="K534" i="12" s="1"/>
  <c r="K525" i="12"/>
  <c r="K524" i="12"/>
  <c r="U522" i="12"/>
  <c r="T522" i="12"/>
  <c r="N522" i="12"/>
  <c r="N520" i="12" s="1"/>
  <c r="M522" i="12"/>
  <c r="P522" i="12" s="1"/>
  <c r="L522" i="12"/>
  <c r="U521" i="12"/>
  <c r="T521" i="12"/>
  <c r="P521" i="12"/>
  <c r="O521" i="12"/>
  <c r="T520" i="12"/>
  <c r="S520" i="12"/>
  <c r="R520" i="12"/>
  <c r="U520" i="12" s="1"/>
  <c r="Q520" i="12"/>
  <c r="U519" i="12"/>
  <c r="T519" i="12"/>
  <c r="N519" i="12"/>
  <c r="N517" i="12" s="1"/>
  <c r="M519" i="12"/>
  <c r="P519" i="12" s="1"/>
  <c r="L519" i="12"/>
  <c r="L517" i="12" s="1"/>
  <c r="O517" i="12" s="1"/>
  <c r="U518" i="12"/>
  <c r="T518" i="12"/>
  <c r="P518" i="12"/>
  <c r="O518" i="12"/>
  <c r="U517" i="12"/>
  <c r="S517" i="12"/>
  <c r="R517" i="12"/>
  <c r="Q517" i="12"/>
  <c r="T517" i="12" s="1"/>
  <c r="U516" i="12"/>
  <c r="S516" i="12"/>
  <c r="R516" i="12"/>
  <c r="Q516" i="12"/>
  <c r="T516" i="12" s="1"/>
  <c r="U515" i="12"/>
  <c r="S515" i="12"/>
  <c r="R515" i="12"/>
  <c r="R514" i="12" s="1"/>
  <c r="U514" i="12" s="1"/>
  <c r="Q515" i="12"/>
  <c r="T515" i="12" s="1"/>
  <c r="P515" i="12"/>
  <c r="O515" i="12"/>
  <c r="N515" i="12"/>
  <c r="M515" i="12"/>
  <c r="L515" i="12"/>
  <c r="T514" i="12"/>
  <c r="S514" i="12"/>
  <c r="Q514" i="12"/>
  <c r="K513" i="12"/>
  <c r="J513" i="12"/>
  <c r="I513" i="12"/>
  <c r="I510" i="12"/>
  <c r="K510" i="12" s="1"/>
  <c r="K509" i="12"/>
  <c r="I508" i="12"/>
  <c r="K508" i="12" s="1"/>
  <c r="I507" i="12"/>
  <c r="K507" i="12" s="1"/>
  <c r="I506" i="12"/>
  <c r="K506" i="12" s="1"/>
  <c r="I505" i="12"/>
  <c r="K505" i="12" s="1"/>
  <c r="I504" i="12"/>
  <c r="K504" i="12" s="1"/>
  <c r="U502" i="12"/>
  <c r="T502" i="12"/>
  <c r="P502" i="12"/>
  <c r="O502" i="12"/>
  <c r="U501" i="12"/>
  <c r="T501" i="12"/>
  <c r="P501" i="12"/>
  <c r="O501" i="12"/>
  <c r="T500" i="12"/>
  <c r="S500" i="12"/>
  <c r="R500" i="12"/>
  <c r="U500" i="12" s="1"/>
  <c r="Q500" i="12"/>
  <c r="P500" i="12"/>
  <c r="N500" i="12"/>
  <c r="M500" i="12"/>
  <c r="L500" i="12"/>
  <c r="O500" i="12" s="1"/>
  <c r="S499" i="12"/>
  <c r="S497" i="12" s="1"/>
  <c r="R499" i="12"/>
  <c r="U499" i="12" s="1"/>
  <c r="Q499" i="12"/>
  <c r="T499" i="12" s="1"/>
  <c r="P499" i="12"/>
  <c r="O499" i="12"/>
  <c r="U498" i="12"/>
  <c r="T498" i="12"/>
  <c r="P498" i="12"/>
  <c r="O498" i="12"/>
  <c r="P497" i="12"/>
  <c r="O497" i="12"/>
  <c r="N497" i="12"/>
  <c r="M497" i="12"/>
  <c r="L497" i="12"/>
  <c r="O496" i="12"/>
  <c r="N496" i="12"/>
  <c r="M496" i="12"/>
  <c r="P496" i="12" s="1"/>
  <c r="L496" i="12"/>
  <c r="U495" i="12"/>
  <c r="S495" i="12"/>
  <c r="R495" i="12"/>
  <c r="Q495" i="12"/>
  <c r="O495" i="12"/>
  <c r="N495" i="12"/>
  <c r="M495" i="12"/>
  <c r="P495" i="12" s="1"/>
  <c r="L495" i="12"/>
  <c r="L494" i="12" s="1"/>
  <c r="O494" i="12"/>
  <c r="M494" i="12"/>
  <c r="P494" i="12" s="1"/>
  <c r="J486" i="12"/>
  <c r="I486" i="12"/>
  <c r="K486" i="12" s="1"/>
  <c r="J485" i="12"/>
  <c r="I485" i="12"/>
  <c r="K485" i="12" s="1"/>
  <c r="J484" i="12"/>
  <c r="J483" i="12"/>
  <c r="K478" i="12"/>
  <c r="J478" i="12"/>
  <c r="K477" i="12"/>
  <c r="J477" i="12"/>
  <c r="K476" i="12"/>
  <c r="J476" i="12"/>
  <c r="J469" i="12"/>
  <c r="J468" i="12"/>
  <c r="J461" i="12"/>
  <c r="J459" i="12" s="1"/>
  <c r="J460" i="12"/>
  <c r="I459" i="12"/>
  <c r="K459" i="12" s="1"/>
  <c r="J458" i="12"/>
  <c r="J457" i="12" s="1"/>
  <c r="I458" i="12"/>
  <c r="J448" i="12"/>
  <c r="J442" i="12" s="1"/>
  <c r="J447" i="12"/>
  <c r="J441" i="12" s="1"/>
  <c r="J424" i="12" s="1"/>
  <c r="J413" i="12" s="1"/>
  <c r="I442" i="12"/>
  <c r="K442" i="12" s="1"/>
  <c r="I441" i="12"/>
  <c r="K441" i="12" s="1"/>
  <c r="J434" i="12"/>
  <c r="I434" i="12"/>
  <c r="K434" i="12" s="1"/>
  <c r="J433" i="12"/>
  <c r="I433" i="12"/>
  <c r="K433" i="12" s="1"/>
  <c r="J426" i="12"/>
  <c r="I426" i="12"/>
  <c r="K426" i="12" s="1"/>
  <c r="J425" i="12"/>
  <c r="I425" i="12"/>
  <c r="K425" i="12" s="1"/>
  <c r="U422" i="12"/>
  <c r="T422" i="12"/>
  <c r="P422" i="12"/>
  <c r="O422" i="12"/>
  <c r="U421" i="12"/>
  <c r="T421" i="12"/>
  <c r="P421" i="12"/>
  <c r="O421" i="12"/>
  <c r="T420" i="12"/>
  <c r="S420" i="12"/>
  <c r="R420" i="12"/>
  <c r="U420" i="12" s="1"/>
  <c r="Q420" i="12"/>
  <c r="N420" i="12"/>
  <c r="M420" i="12"/>
  <c r="P420" i="12" s="1"/>
  <c r="L420" i="12"/>
  <c r="O420" i="12" s="1"/>
  <c r="S419" i="12"/>
  <c r="S417" i="12" s="1"/>
  <c r="R419" i="12"/>
  <c r="R417" i="12" s="1"/>
  <c r="U417" i="12" s="1"/>
  <c r="Q419" i="12"/>
  <c r="T419" i="12" s="1"/>
  <c r="P419" i="12"/>
  <c r="O419" i="12"/>
  <c r="U418" i="12"/>
  <c r="T418" i="12"/>
  <c r="P418" i="12"/>
  <c r="O418" i="12"/>
  <c r="O417" i="12"/>
  <c r="N417" i="12"/>
  <c r="M417" i="12"/>
  <c r="P417" i="12" s="1"/>
  <c r="L417" i="12"/>
  <c r="P416" i="12"/>
  <c r="O416" i="12"/>
  <c r="N416" i="12"/>
  <c r="M416" i="12"/>
  <c r="L416" i="12"/>
  <c r="T415" i="12"/>
  <c r="S415" i="12"/>
  <c r="R415" i="12"/>
  <c r="U415" i="12" s="1"/>
  <c r="Q415" i="12"/>
  <c r="N415" i="12"/>
  <c r="N414" i="12" s="1"/>
  <c r="M415" i="12"/>
  <c r="L415" i="12"/>
  <c r="O415" i="12" s="1"/>
  <c r="L414" i="12"/>
  <c r="O414" i="12" s="1"/>
  <c r="U401" i="12"/>
  <c r="T401" i="12"/>
  <c r="P401" i="12"/>
  <c r="O401" i="12"/>
  <c r="U400" i="12"/>
  <c r="T400" i="12"/>
  <c r="P400" i="12"/>
  <c r="O400" i="12"/>
  <c r="T399" i="12"/>
  <c r="S399" i="12"/>
  <c r="R399" i="12"/>
  <c r="U399" i="12" s="1"/>
  <c r="Q399" i="12"/>
  <c r="N399" i="12"/>
  <c r="M399" i="12"/>
  <c r="P399" i="12" s="1"/>
  <c r="L399" i="12"/>
  <c r="O399" i="12" s="1"/>
  <c r="U398" i="12"/>
  <c r="T398" i="12"/>
  <c r="P398" i="12"/>
  <c r="O398" i="12"/>
  <c r="U397" i="12"/>
  <c r="T397" i="12"/>
  <c r="P397" i="12"/>
  <c r="O397" i="12"/>
  <c r="T396" i="12"/>
  <c r="S396" i="12"/>
  <c r="R396" i="12"/>
  <c r="U396" i="12" s="1"/>
  <c r="Q396" i="12"/>
  <c r="P396" i="12"/>
  <c r="N396" i="12"/>
  <c r="M396" i="12"/>
  <c r="L396" i="12"/>
  <c r="O396" i="12" s="1"/>
  <c r="T395" i="12"/>
  <c r="S395" i="12"/>
  <c r="R395" i="12"/>
  <c r="U395" i="12" s="1"/>
  <c r="Q395" i="12"/>
  <c r="P395" i="12"/>
  <c r="N395" i="12"/>
  <c r="M395" i="12"/>
  <c r="L395" i="12"/>
  <c r="S394" i="12"/>
  <c r="R394" i="12"/>
  <c r="U394" i="12" s="1"/>
  <c r="Q394" i="12"/>
  <c r="Q393" i="12" s="1"/>
  <c r="P394" i="12"/>
  <c r="N394" i="12"/>
  <c r="N393" i="12" s="1"/>
  <c r="M394" i="12"/>
  <c r="L394" i="12"/>
  <c r="O394" i="12" s="1"/>
  <c r="T393" i="12"/>
  <c r="R393" i="12"/>
  <c r="U393" i="12" s="1"/>
  <c r="J392" i="12"/>
  <c r="I392" i="12"/>
  <c r="K392" i="12" s="1"/>
  <c r="J389" i="12"/>
  <c r="I389" i="12"/>
  <c r="K389" i="12" s="1"/>
  <c r="K388" i="12"/>
  <c r="J388" i="12"/>
  <c r="J387" i="12"/>
  <c r="I387" i="12"/>
  <c r="K386" i="12"/>
  <c r="J386" i="12"/>
  <c r="U384" i="12"/>
  <c r="T384" i="12"/>
  <c r="P384" i="12"/>
  <c r="O384" i="12"/>
  <c r="U383" i="12"/>
  <c r="T383" i="12"/>
  <c r="P383" i="12"/>
  <c r="O383" i="12"/>
  <c r="U382" i="12"/>
  <c r="S382" i="12"/>
  <c r="R382" i="12"/>
  <c r="Q382" i="12"/>
  <c r="T382" i="12" s="1"/>
  <c r="P382" i="12"/>
  <c r="O382" i="12"/>
  <c r="N382" i="12"/>
  <c r="M382" i="12"/>
  <c r="L382" i="12"/>
  <c r="S381" i="12"/>
  <c r="S378" i="12" s="1"/>
  <c r="S376" i="12" s="1"/>
  <c r="R381" i="12"/>
  <c r="U381" i="12" s="1"/>
  <c r="Q381" i="12"/>
  <c r="P381" i="12"/>
  <c r="O381" i="12"/>
  <c r="U380" i="12"/>
  <c r="T380" i="12"/>
  <c r="P380" i="12"/>
  <c r="O380" i="12"/>
  <c r="N379" i="12"/>
  <c r="M379" i="12"/>
  <c r="P379" i="12" s="1"/>
  <c r="L379" i="12"/>
  <c r="O379" i="12" s="1"/>
  <c r="P378" i="12"/>
  <c r="N378" i="12"/>
  <c r="M378" i="12"/>
  <c r="L378" i="12"/>
  <c r="O378" i="12" s="1"/>
  <c r="S377" i="12"/>
  <c r="R377" i="12"/>
  <c r="U377" i="12" s="1"/>
  <c r="Q377" i="12"/>
  <c r="P377" i="12"/>
  <c r="N377" i="12"/>
  <c r="M377" i="12"/>
  <c r="L377" i="12"/>
  <c r="O377" i="12" s="1"/>
  <c r="M376" i="12"/>
  <c r="P376" i="12" s="1"/>
  <c r="L376" i="12"/>
  <c r="O376" i="12" s="1"/>
  <c r="D374" i="12"/>
  <c r="K373" i="12"/>
  <c r="J373" i="12"/>
  <c r="J372" i="12"/>
  <c r="J366" i="12" s="1"/>
  <c r="I372" i="12"/>
  <c r="K371" i="12"/>
  <c r="J371" i="12"/>
  <c r="J370" i="12"/>
  <c r="I370" i="12"/>
  <c r="J369" i="12"/>
  <c r="I369" i="12"/>
  <c r="K368" i="12"/>
  <c r="J368" i="12"/>
  <c r="U365" i="12"/>
  <c r="T365" i="12"/>
  <c r="N365" i="12"/>
  <c r="M365" i="12"/>
  <c r="L365" i="12"/>
  <c r="L363" i="12" s="1"/>
  <c r="O363" i="12" s="1"/>
  <c r="U364" i="12"/>
  <c r="T364" i="12"/>
  <c r="P364" i="12"/>
  <c r="O364" i="12"/>
  <c r="S363" i="12"/>
  <c r="R363" i="12"/>
  <c r="U363" i="12" s="1"/>
  <c r="Q363" i="12"/>
  <c r="T363" i="12" s="1"/>
  <c r="U362" i="12"/>
  <c r="T362" i="12"/>
  <c r="N362" i="12"/>
  <c r="N360" i="12" s="1"/>
  <c r="M362" i="12"/>
  <c r="M360" i="12" s="1"/>
  <c r="L362" i="12"/>
  <c r="L360" i="12" s="1"/>
  <c r="U361" i="12"/>
  <c r="T361" i="12"/>
  <c r="P361" i="12"/>
  <c r="O361" i="12"/>
  <c r="T360" i="12"/>
  <c r="S360" i="12"/>
  <c r="R360" i="12"/>
  <c r="U360" i="12" s="1"/>
  <c r="Q360" i="12"/>
  <c r="S359" i="12"/>
  <c r="R359" i="12"/>
  <c r="U359" i="12" s="1"/>
  <c r="Q359" i="12"/>
  <c r="T359" i="12" s="1"/>
  <c r="U358" i="12"/>
  <c r="S358" i="12"/>
  <c r="R358" i="12"/>
  <c r="Q358" i="12"/>
  <c r="Q357" i="12" s="1"/>
  <c r="T357" i="12" s="1"/>
  <c r="P358" i="12"/>
  <c r="O358" i="12"/>
  <c r="N358" i="12"/>
  <c r="M358" i="12"/>
  <c r="L358" i="12"/>
  <c r="U357" i="12"/>
  <c r="S357" i="12"/>
  <c r="R357" i="12"/>
  <c r="D355" i="12"/>
  <c r="J354" i="12"/>
  <c r="J353" i="12"/>
  <c r="D351" i="12"/>
  <c r="J350" i="12"/>
  <c r="J349" i="12"/>
  <c r="J348" i="12"/>
  <c r="J347" i="12"/>
  <c r="I347" i="12"/>
  <c r="J345" i="12"/>
  <c r="I345" i="12"/>
  <c r="I333" i="12" s="1"/>
  <c r="U342" i="12"/>
  <c r="T342" i="12"/>
  <c r="N342" i="12"/>
  <c r="N340" i="12" s="1"/>
  <c r="M342" i="12"/>
  <c r="M340" i="12" s="1"/>
  <c r="P340" i="12" s="1"/>
  <c r="L342" i="12"/>
  <c r="L340" i="12" s="1"/>
  <c r="O340" i="12" s="1"/>
  <c r="U341" i="12"/>
  <c r="T341" i="12"/>
  <c r="P341" i="12"/>
  <c r="O341" i="12"/>
  <c r="T340" i="12"/>
  <c r="S340" i="12"/>
  <c r="R340" i="12"/>
  <c r="U340" i="12" s="1"/>
  <c r="Q340" i="12"/>
  <c r="U339" i="12"/>
  <c r="T339" i="12"/>
  <c r="N339" i="12"/>
  <c r="N337" i="12" s="1"/>
  <c r="M339" i="12"/>
  <c r="M337" i="12" s="1"/>
  <c r="L339" i="12"/>
  <c r="L337" i="12" s="1"/>
  <c r="U338" i="12"/>
  <c r="T338" i="12"/>
  <c r="P338" i="12"/>
  <c r="O338" i="12"/>
  <c r="U337" i="12"/>
  <c r="S337" i="12"/>
  <c r="R337" i="12"/>
  <c r="Q337" i="12"/>
  <c r="T337" i="12" s="1"/>
  <c r="U336" i="12"/>
  <c r="T336" i="12"/>
  <c r="S336" i="12"/>
  <c r="R336" i="12"/>
  <c r="Q336" i="12"/>
  <c r="S335" i="12"/>
  <c r="R335" i="12"/>
  <c r="U335" i="12" s="1"/>
  <c r="Q335" i="12"/>
  <c r="T335" i="12" s="1"/>
  <c r="N335" i="12"/>
  <c r="M335" i="12"/>
  <c r="L335" i="12"/>
  <c r="O335" i="12" s="1"/>
  <c r="R334" i="12"/>
  <c r="U334" i="12" s="1"/>
  <c r="Q334" i="12"/>
  <c r="T334" i="12" s="1"/>
  <c r="I331" i="12"/>
  <c r="K331" i="12" s="1"/>
  <c r="U329" i="12"/>
  <c r="T329" i="12"/>
  <c r="N329" i="12"/>
  <c r="N327" i="12" s="1"/>
  <c r="M329" i="12"/>
  <c r="P329" i="12" s="1"/>
  <c r="L329" i="12"/>
  <c r="U328" i="12"/>
  <c r="T328" i="12"/>
  <c r="P328" i="12"/>
  <c r="O328" i="12"/>
  <c r="T327" i="12"/>
  <c r="S327" i="12"/>
  <c r="R327" i="12"/>
  <c r="U327" i="12" s="1"/>
  <c r="Q327" i="12"/>
  <c r="U326" i="12"/>
  <c r="T326" i="12"/>
  <c r="N326" i="12"/>
  <c r="N324" i="12" s="1"/>
  <c r="M326" i="12"/>
  <c r="L326" i="12"/>
  <c r="L324" i="12" s="1"/>
  <c r="O324" i="12" s="1"/>
  <c r="U325" i="12"/>
  <c r="T325" i="12"/>
  <c r="P325" i="12"/>
  <c r="O325" i="12"/>
  <c r="U324" i="12"/>
  <c r="T324" i="12"/>
  <c r="S324" i="12"/>
  <c r="R324" i="12"/>
  <c r="Q324" i="12"/>
  <c r="U323" i="12"/>
  <c r="T323" i="12"/>
  <c r="S323" i="12"/>
  <c r="R323" i="12"/>
  <c r="Q323" i="12"/>
  <c r="S322" i="12"/>
  <c r="S321" i="12" s="1"/>
  <c r="R322" i="12"/>
  <c r="Q322" i="12"/>
  <c r="T322" i="12" s="1"/>
  <c r="P322" i="12"/>
  <c r="N322" i="12"/>
  <c r="M322" i="12"/>
  <c r="L322" i="12"/>
  <c r="Q321" i="12"/>
  <c r="T321" i="12" s="1"/>
  <c r="J320" i="12"/>
  <c r="I315" i="12"/>
  <c r="K315" i="12" s="1"/>
  <c r="U312" i="12"/>
  <c r="T312" i="12"/>
  <c r="N312" i="12"/>
  <c r="N310" i="12" s="1"/>
  <c r="M312" i="12"/>
  <c r="L312" i="12"/>
  <c r="O312" i="12" s="1"/>
  <c r="U311" i="12"/>
  <c r="T311" i="12"/>
  <c r="P311" i="12"/>
  <c r="O311" i="12"/>
  <c r="S310" i="12"/>
  <c r="R310" i="12"/>
  <c r="U310" i="12" s="1"/>
  <c r="Q310" i="12"/>
  <c r="T310" i="12" s="1"/>
  <c r="S309" i="12"/>
  <c r="S306" i="12" s="1"/>
  <c r="R309" i="12"/>
  <c r="Q309" i="12"/>
  <c r="Q307" i="12" s="1"/>
  <c r="N309" i="12"/>
  <c r="N307" i="12" s="1"/>
  <c r="M309" i="12"/>
  <c r="P309" i="12" s="1"/>
  <c r="L309" i="12"/>
  <c r="O309" i="12" s="1"/>
  <c r="U308" i="12"/>
  <c r="T308" i="12"/>
  <c r="P308" i="12"/>
  <c r="O308" i="12"/>
  <c r="T305" i="12"/>
  <c r="S305" i="12"/>
  <c r="R305" i="12"/>
  <c r="U305" i="12" s="1"/>
  <c r="Q305" i="12"/>
  <c r="N305" i="12"/>
  <c r="M305" i="12"/>
  <c r="P305" i="12" s="1"/>
  <c r="L305" i="12"/>
  <c r="O305" i="12" s="1"/>
  <c r="J303" i="12"/>
  <c r="I297" i="12"/>
  <c r="K297" i="12" s="1"/>
  <c r="I296" i="12"/>
  <c r="K296" i="12" s="1"/>
  <c r="J294" i="12"/>
  <c r="I294" i="12"/>
  <c r="K294" i="12" s="1"/>
  <c r="I293" i="12"/>
  <c r="I282" i="12" s="1"/>
  <c r="K282" i="12" s="1"/>
  <c r="U291" i="12"/>
  <c r="T291" i="12"/>
  <c r="N291" i="12"/>
  <c r="M291" i="12"/>
  <c r="M289" i="12" s="1"/>
  <c r="P289" i="12" s="1"/>
  <c r="L291" i="12"/>
  <c r="U290" i="12"/>
  <c r="T290" i="12"/>
  <c r="P290" i="12"/>
  <c r="O290" i="12"/>
  <c r="U289" i="12"/>
  <c r="T289" i="12"/>
  <c r="S289" i="12"/>
  <c r="R289" i="12"/>
  <c r="Q289" i="12"/>
  <c r="U288" i="12"/>
  <c r="T288" i="12"/>
  <c r="N288" i="12"/>
  <c r="N286" i="12" s="1"/>
  <c r="M288" i="12"/>
  <c r="L288" i="12"/>
  <c r="U287" i="12"/>
  <c r="T287" i="12"/>
  <c r="P287" i="12"/>
  <c r="O287" i="12"/>
  <c r="S286" i="12"/>
  <c r="R286" i="12"/>
  <c r="U286" i="12" s="1"/>
  <c r="Q286" i="12"/>
  <c r="T286" i="12" s="1"/>
  <c r="U285" i="12"/>
  <c r="T285" i="12"/>
  <c r="S285" i="12"/>
  <c r="R285" i="12"/>
  <c r="Q285" i="12"/>
  <c r="U284" i="12"/>
  <c r="T284" i="12"/>
  <c r="S284" i="12"/>
  <c r="S283" i="12" s="1"/>
  <c r="R284" i="12"/>
  <c r="Q284" i="12"/>
  <c r="O284" i="12"/>
  <c r="N284" i="12"/>
  <c r="M284" i="12"/>
  <c r="P284" i="12" s="1"/>
  <c r="L284" i="12"/>
  <c r="R283" i="12"/>
  <c r="U283" i="12" s="1"/>
  <c r="Q283" i="12"/>
  <c r="T283" i="12" s="1"/>
  <c r="J282" i="12"/>
  <c r="J281" i="12"/>
  <c r="I277" i="12"/>
  <c r="I266" i="12" s="1"/>
  <c r="K266" i="12" s="1"/>
  <c r="U275" i="12"/>
  <c r="T275" i="12"/>
  <c r="N275" i="12"/>
  <c r="N273" i="12" s="1"/>
  <c r="M275" i="12"/>
  <c r="M273" i="12" s="1"/>
  <c r="P273" i="12" s="1"/>
  <c r="L275" i="12"/>
  <c r="L273" i="12" s="1"/>
  <c r="O273" i="12" s="1"/>
  <c r="U274" i="12"/>
  <c r="T274" i="12"/>
  <c r="P274" i="12"/>
  <c r="O274" i="12"/>
  <c r="S273" i="12"/>
  <c r="R273" i="12"/>
  <c r="U273" i="12" s="1"/>
  <c r="Q273" i="12"/>
  <c r="T273" i="12" s="1"/>
  <c r="S272" i="12"/>
  <c r="S270" i="12" s="1"/>
  <c r="R272" i="12"/>
  <c r="R270" i="12" s="1"/>
  <c r="Q272" i="12"/>
  <c r="N272" i="12"/>
  <c r="N270" i="12" s="1"/>
  <c r="M272" i="12"/>
  <c r="M270" i="12" s="1"/>
  <c r="L272" i="12"/>
  <c r="L270" i="12" s="1"/>
  <c r="O270" i="12" s="1"/>
  <c r="U271" i="12"/>
  <c r="T271" i="12"/>
  <c r="P271" i="12"/>
  <c r="O271" i="12"/>
  <c r="S268" i="12"/>
  <c r="R268" i="12"/>
  <c r="U268" i="12" s="1"/>
  <c r="Q268" i="12"/>
  <c r="T268" i="12" s="1"/>
  <c r="N268" i="12"/>
  <c r="M268" i="12"/>
  <c r="L268" i="12"/>
  <c r="O268" i="12" s="1"/>
  <c r="J266" i="12"/>
  <c r="K264" i="12"/>
  <c r="K263" i="12"/>
  <c r="I261" i="12"/>
  <c r="I254" i="12" s="1"/>
  <c r="L259" i="12"/>
  <c r="L258" i="12"/>
  <c r="L257" i="12"/>
  <c r="L256" i="12"/>
  <c r="P255" i="12"/>
  <c r="N255" i="12"/>
  <c r="J254" i="12"/>
  <c r="K253" i="12"/>
  <c r="K252" i="12"/>
  <c r="I250" i="12"/>
  <c r="K250" i="12" s="1"/>
  <c r="L248" i="12"/>
  <c r="L247" i="12"/>
  <c r="L246" i="12"/>
  <c r="L245" i="12"/>
  <c r="P244" i="12"/>
  <c r="N244" i="12"/>
  <c r="J243" i="12"/>
  <c r="J242" i="12"/>
  <c r="I242" i="12"/>
  <c r="K242" i="12" s="1"/>
  <c r="K241" i="12"/>
  <c r="J241" i="12"/>
  <c r="I241" i="12"/>
  <c r="J239" i="12"/>
  <c r="N237" i="12"/>
  <c r="N236" i="12"/>
  <c r="N235" i="12"/>
  <c r="N234" i="12"/>
  <c r="N233" i="12"/>
  <c r="J232" i="12"/>
  <c r="I231" i="12"/>
  <c r="K231" i="12" s="1"/>
  <c r="I230" i="12"/>
  <c r="K230" i="12" s="1"/>
  <c r="I229" i="12"/>
  <c r="K229" i="12" s="1"/>
  <c r="L226" i="12"/>
  <c r="L225" i="12"/>
  <c r="L224" i="12"/>
  <c r="P223" i="12"/>
  <c r="N223" i="12"/>
  <c r="J222" i="12"/>
  <c r="I221" i="12"/>
  <c r="I214" i="12" s="1"/>
  <c r="K214" i="12" s="1"/>
  <c r="I220" i="12"/>
  <c r="K220" i="12" s="1"/>
  <c r="L218" i="12"/>
  <c r="L217" i="12"/>
  <c r="L216" i="12"/>
  <c r="P215" i="12"/>
  <c r="N215" i="12"/>
  <c r="J214" i="12"/>
  <c r="I213" i="12"/>
  <c r="K213" i="12" s="1"/>
  <c r="I212" i="12"/>
  <c r="K212" i="12" s="1"/>
  <c r="I210" i="12"/>
  <c r="K210" i="12" s="1"/>
  <c r="L208" i="12"/>
  <c r="L207" i="12"/>
  <c r="L206" i="12"/>
  <c r="L205" i="12"/>
  <c r="P204" i="12"/>
  <c r="N204" i="12"/>
  <c r="J203" i="12"/>
  <c r="J200" i="12"/>
  <c r="I199" i="12"/>
  <c r="I196" i="12" s="1"/>
  <c r="K196" i="12" s="1"/>
  <c r="P197" i="12"/>
  <c r="L197" i="12"/>
  <c r="O197" i="12" s="1"/>
  <c r="J196" i="12"/>
  <c r="U195" i="12"/>
  <c r="T195" i="12"/>
  <c r="N195" i="12"/>
  <c r="N193" i="12" s="1"/>
  <c r="M195" i="12"/>
  <c r="P195" i="12" s="1"/>
  <c r="L195" i="12"/>
  <c r="O195" i="12" s="1"/>
  <c r="U194" i="12"/>
  <c r="T194" i="12"/>
  <c r="P194" i="12"/>
  <c r="O194" i="12"/>
  <c r="S193" i="12"/>
  <c r="R193" i="12"/>
  <c r="U193" i="12" s="1"/>
  <c r="Q193" i="12"/>
  <c r="T193" i="12" s="1"/>
  <c r="S192" i="12"/>
  <c r="S190" i="12" s="1"/>
  <c r="R192" i="12"/>
  <c r="R189" i="12" s="1"/>
  <c r="R187" i="12" s="1"/>
  <c r="Q192" i="12"/>
  <c r="Q190" i="12" s="1"/>
  <c r="N192" i="12"/>
  <c r="M192" i="12"/>
  <c r="M190" i="12" s="1"/>
  <c r="L192" i="12"/>
  <c r="U191" i="12"/>
  <c r="T191" i="12"/>
  <c r="P191" i="12"/>
  <c r="O191" i="12"/>
  <c r="U188" i="12"/>
  <c r="T188" i="12"/>
  <c r="S188" i="12"/>
  <c r="R188" i="12"/>
  <c r="Q188" i="12"/>
  <c r="O188" i="12"/>
  <c r="N188" i="12"/>
  <c r="M188" i="12"/>
  <c r="L188" i="12"/>
  <c r="J186" i="12"/>
  <c r="K185" i="12"/>
  <c r="I184" i="12"/>
  <c r="K184" i="12" s="1"/>
  <c r="U182" i="12"/>
  <c r="T182" i="12"/>
  <c r="N182" i="12"/>
  <c r="N180" i="12" s="1"/>
  <c r="M182" i="12"/>
  <c r="P182" i="12" s="1"/>
  <c r="L182" i="12"/>
  <c r="O182" i="12" s="1"/>
  <c r="U181" i="12"/>
  <c r="T181" i="12"/>
  <c r="P181" i="12"/>
  <c r="O181" i="12"/>
  <c r="T180" i="12"/>
  <c r="S180" i="12"/>
  <c r="R180" i="12"/>
  <c r="U180" i="12" s="1"/>
  <c r="Q180" i="12"/>
  <c r="S179" i="12"/>
  <c r="S177" i="12" s="1"/>
  <c r="R179" i="12"/>
  <c r="U179" i="12" s="1"/>
  <c r="Q179" i="12"/>
  <c r="Q177" i="12" s="1"/>
  <c r="T177" i="12" s="1"/>
  <c r="N179" i="12"/>
  <c r="N177" i="12" s="1"/>
  <c r="M179" i="12"/>
  <c r="M177" i="12" s="1"/>
  <c r="L179" i="12"/>
  <c r="U178" i="12"/>
  <c r="T178" i="12"/>
  <c r="P178" i="12"/>
  <c r="O178" i="12"/>
  <c r="U175" i="12"/>
  <c r="S175" i="12"/>
  <c r="R175" i="12"/>
  <c r="Q175" i="12"/>
  <c r="P175" i="12"/>
  <c r="O175" i="12"/>
  <c r="N175" i="12"/>
  <c r="M175" i="12"/>
  <c r="L175" i="12"/>
  <c r="J173" i="12"/>
  <c r="I170" i="12"/>
  <c r="I157" i="12" s="1"/>
  <c r="K157" i="12" s="1"/>
  <c r="I169" i="12"/>
  <c r="K169" i="12" s="1"/>
  <c r="I168" i="12"/>
  <c r="K168" i="12" s="1"/>
  <c r="U166" i="12"/>
  <c r="T166" i="12"/>
  <c r="N166" i="12"/>
  <c r="N164" i="12" s="1"/>
  <c r="M166" i="12"/>
  <c r="P166" i="12" s="1"/>
  <c r="L166" i="12"/>
  <c r="U165" i="12"/>
  <c r="T165" i="12"/>
  <c r="P165" i="12"/>
  <c r="O165" i="12"/>
  <c r="S164" i="12"/>
  <c r="R164" i="12"/>
  <c r="U164" i="12" s="1"/>
  <c r="Q164" i="12"/>
  <c r="T164" i="12" s="1"/>
  <c r="S163" i="12"/>
  <c r="S160" i="12" s="1"/>
  <c r="R163" i="12"/>
  <c r="R161" i="12" s="1"/>
  <c r="U161" i="12" s="1"/>
  <c r="Q160" i="12"/>
  <c r="T160" i="12" s="1"/>
  <c r="N163" i="12"/>
  <c r="M163" i="12"/>
  <c r="L163" i="12"/>
  <c r="L161" i="12" s="1"/>
  <c r="O161" i="12" s="1"/>
  <c r="U162" i="12"/>
  <c r="T162" i="12"/>
  <c r="P162" i="12"/>
  <c r="O162" i="12"/>
  <c r="U159" i="12"/>
  <c r="S159" i="12"/>
  <c r="R159" i="12"/>
  <c r="Q159" i="12"/>
  <c r="T159" i="12" s="1"/>
  <c r="N159" i="12"/>
  <c r="M159" i="12"/>
  <c r="P159" i="12" s="1"/>
  <c r="L159" i="12"/>
  <c r="O159" i="12" s="1"/>
  <c r="J157" i="12"/>
  <c r="I155" i="12"/>
  <c r="I137" i="12" s="1"/>
  <c r="I154" i="12"/>
  <c r="K154" i="12" s="1"/>
  <c r="I153" i="12"/>
  <c r="I138" i="12" s="1"/>
  <c r="K138" i="12" s="1"/>
  <c r="I152" i="12"/>
  <c r="K152" i="12" s="1"/>
  <c r="I151" i="12"/>
  <c r="K151" i="12" s="1"/>
  <c r="U148" i="12"/>
  <c r="T148" i="12"/>
  <c r="N148" i="12"/>
  <c r="N146" i="12" s="1"/>
  <c r="M148" i="12"/>
  <c r="M146" i="12" s="1"/>
  <c r="P146" i="12" s="1"/>
  <c r="L148" i="12"/>
  <c r="O148" i="12" s="1"/>
  <c r="U147" i="12"/>
  <c r="T147" i="12"/>
  <c r="P147" i="12"/>
  <c r="O147" i="12"/>
  <c r="T146" i="12"/>
  <c r="S146" i="12"/>
  <c r="R146" i="12"/>
  <c r="U146" i="12" s="1"/>
  <c r="Q146" i="12"/>
  <c r="S145" i="12"/>
  <c r="S143" i="12" s="1"/>
  <c r="R145" i="12"/>
  <c r="Q145" i="12"/>
  <c r="Q142" i="12" s="1"/>
  <c r="N145" i="12"/>
  <c r="N143" i="12" s="1"/>
  <c r="M145" i="12"/>
  <c r="M143" i="12" s="1"/>
  <c r="L145" i="12"/>
  <c r="U144" i="12"/>
  <c r="T144" i="12"/>
  <c r="P144" i="12"/>
  <c r="O144" i="12"/>
  <c r="S141" i="12"/>
  <c r="R141" i="12"/>
  <c r="U141" i="12" s="1"/>
  <c r="Q141" i="12"/>
  <c r="T141" i="12" s="1"/>
  <c r="N141" i="12"/>
  <c r="M141" i="12"/>
  <c r="L141" i="12"/>
  <c r="O141" i="12" s="1"/>
  <c r="J139" i="12"/>
  <c r="J138" i="12"/>
  <c r="J137" i="12"/>
  <c r="I131" i="12"/>
  <c r="K131" i="12" s="1"/>
  <c r="I130" i="12"/>
  <c r="K130" i="12" s="1"/>
  <c r="I129" i="12"/>
  <c r="K129" i="12" s="1"/>
  <c r="I128" i="12"/>
  <c r="I117" i="12" s="1"/>
  <c r="U126" i="12"/>
  <c r="T126" i="12"/>
  <c r="N126" i="12"/>
  <c r="N124" i="12" s="1"/>
  <c r="M126" i="12"/>
  <c r="P126" i="12" s="1"/>
  <c r="L126" i="12"/>
  <c r="L124" i="12" s="1"/>
  <c r="O124" i="12" s="1"/>
  <c r="U125" i="12"/>
  <c r="T125" i="12"/>
  <c r="P125" i="12"/>
  <c r="O125" i="12"/>
  <c r="S124" i="12"/>
  <c r="R124" i="12"/>
  <c r="U124" i="12" s="1"/>
  <c r="Q124" i="12"/>
  <c r="T124" i="12" s="1"/>
  <c r="S123" i="12"/>
  <c r="S120" i="12" s="1"/>
  <c r="S118" i="12" s="1"/>
  <c r="R123" i="12"/>
  <c r="R121" i="12" s="1"/>
  <c r="Q123" i="12"/>
  <c r="Q120" i="12" s="1"/>
  <c r="N123" i="12"/>
  <c r="M123" i="12"/>
  <c r="M121" i="12" s="1"/>
  <c r="P121" i="12" s="1"/>
  <c r="L123" i="12"/>
  <c r="L121" i="12" s="1"/>
  <c r="O121" i="12" s="1"/>
  <c r="U122" i="12"/>
  <c r="T122" i="12"/>
  <c r="P122" i="12"/>
  <c r="O122" i="12"/>
  <c r="S119" i="12"/>
  <c r="R119" i="12"/>
  <c r="U119" i="12" s="1"/>
  <c r="Q119" i="12"/>
  <c r="T119" i="12" s="1"/>
  <c r="N119" i="12"/>
  <c r="M119" i="12"/>
  <c r="P119" i="12" s="1"/>
  <c r="L119" i="12"/>
  <c r="O119" i="12" s="1"/>
  <c r="J117" i="12"/>
  <c r="I115" i="12"/>
  <c r="K115" i="12" s="1"/>
  <c r="I110" i="12"/>
  <c r="I109" i="12"/>
  <c r="K109" i="12" s="1"/>
  <c r="U103" i="12"/>
  <c r="T103" i="12"/>
  <c r="N103" i="12"/>
  <c r="N101" i="12" s="1"/>
  <c r="M103" i="12"/>
  <c r="P103" i="12" s="1"/>
  <c r="L103" i="12"/>
  <c r="L101" i="12" s="1"/>
  <c r="O101" i="12" s="1"/>
  <c r="U102" i="12"/>
  <c r="T102" i="12"/>
  <c r="P102" i="12"/>
  <c r="O102" i="12"/>
  <c r="T101" i="12"/>
  <c r="S101" i="12"/>
  <c r="R101" i="12"/>
  <c r="U101" i="12" s="1"/>
  <c r="Q101" i="12"/>
  <c r="S100" i="12"/>
  <c r="S98" i="12" s="1"/>
  <c r="R100" i="12"/>
  <c r="R98" i="12" s="1"/>
  <c r="U98" i="12" s="1"/>
  <c r="Q97" i="12"/>
  <c r="N100" i="12"/>
  <c r="M100" i="12"/>
  <c r="M98" i="12" s="1"/>
  <c r="P98" i="12" s="1"/>
  <c r="L100" i="12"/>
  <c r="L98" i="12" s="1"/>
  <c r="O98" i="12" s="1"/>
  <c r="U99" i="12"/>
  <c r="T99" i="12"/>
  <c r="P99" i="12"/>
  <c r="O99" i="12"/>
  <c r="S96" i="12"/>
  <c r="R96" i="12"/>
  <c r="U96" i="12" s="1"/>
  <c r="Q96" i="12"/>
  <c r="T96" i="12" s="1"/>
  <c r="P96" i="12"/>
  <c r="N96" i="12"/>
  <c r="M96" i="12"/>
  <c r="L96" i="12"/>
  <c r="O96" i="12" s="1"/>
  <c r="J94" i="12"/>
  <c r="J93" i="12"/>
  <c r="I91" i="12"/>
  <c r="K91" i="12" s="1"/>
  <c r="I90" i="12"/>
  <c r="K90" i="12" s="1"/>
  <c r="I89" i="12"/>
  <c r="K89" i="12" s="1"/>
  <c r="I88" i="12"/>
  <c r="K88" i="12" s="1"/>
  <c r="I87" i="12"/>
  <c r="K87" i="12" s="1"/>
  <c r="I86" i="12"/>
  <c r="K86" i="12" s="1"/>
  <c r="I85" i="12"/>
  <c r="K85" i="12" s="1"/>
  <c r="J84" i="12"/>
  <c r="J83" i="12"/>
  <c r="U81" i="12"/>
  <c r="T81" i="12"/>
  <c r="N81" i="12"/>
  <c r="N79" i="12" s="1"/>
  <c r="M81" i="12"/>
  <c r="L81" i="12"/>
  <c r="O81" i="12" s="1"/>
  <c r="U80" i="12"/>
  <c r="T80" i="12"/>
  <c r="P80" i="12"/>
  <c r="O80" i="12"/>
  <c r="S79" i="12"/>
  <c r="R79" i="12"/>
  <c r="U79" i="12" s="1"/>
  <c r="Q79" i="12"/>
  <c r="T79" i="12" s="1"/>
  <c r="S78" i="12"/>
  <c r="R78" i="12"/>
  <c r="Q78" i="12"/>
  <c r="Q76" i="12" s="1"/>
  <c r="N78" i="12"/>
  <c r="M78" i="12"/>
  <c r="M76" i="12" s="1"/>
  <c r="L78" i="12"/>
  <c r="L76" i="12" s="1"/>
  <c r="U77" i="12"/>
  <c r="T77" i="12"/>
  <c r="P77" i="12"/>
  <c r="O77" i="12"/>
  <c r="S74" i="12"/>
  <c r="R74" i="12"/>
  <c r="U74" i="12" s="1"/>
  <c r="Q74" i="12"/>
  <c r="T74" i="12" s="1"/>
  <c r="N74" i="12"/>
  <c r="M74" i="12"/>
  <c r="P74" i="12" s="1"/>
  <c r="L74" i="12"/>
  <c r="J72" i="12"/>
  <c r="J71" i="12"/>
  <c r="U68" i="12"/>
  <c r="T68" i="12"/>
  <c r="N68" i="12"/>
  <c r="M68" i="12"/>
  <c r="P68" i="12" s="1"/>
  <c r="L68" i="12"/>
  <c r="O68" i="12" s="1"/>
  <c r="U67" i="12"/>
  <c r="T67" i="12"/>
  <c r="P67" i="12"/>
  <c r="O67" i="12"/>
  <c r="T66" i="12"/>
  <c r="S66" i="12"/>
  <c r="R66" i="12"/>
  <c r="U66" i="12" s="1"/>
  <c r="Q66" i="12"/>
  <c r="U65" i="12"/>
  <c r="T65" i="12"/>
  <c r="N65" i="12"/>
  <c r="M65" i="12"/>
  <c r="L65" i="12"/>
  <c r="L63" i="12" s="1"/>
  <c r="U64" i="12"/>
  <c r="T64" i="12"/>
  <c r="P64" i="12"/>
  <c r="O64" i="12"/>
  <c r="U63" i="12"/>
  <c r="S63" i="12"/>
  <c r="R63" i="12"/>
  <c r="Q63" i="12"/>
  <c r="T63" i="12" s="1"/>
  <c r="U62" i="12"/>
  <c r="S62" i="12"/>
  <c r="R62" i="12"/>
  <c r="Q62" i="12"/>
  <c r="T62" i="12" s="1"/>
  <c r="U61" i="12"/>
  <c r="S61" i="12"/>
  <c r="R61" i="12"/>
  <c r="R60" i="12" s="1"/>
  <c r="U60" i="12" s="1"/>
  <c r="Q61" i="12"/>
  <c r="T61" i="12" s="1"/>
  <c r="O61" i="12"/>
  <c r="N61" i="12"/>
  <c r="M61" i="12"/>
  <c r="P61" i="12" s="1"/>
  <c r="L61" i="12"/>
  <c r="S60" i="12"/>
  <c r="U53" i="12"/>
  <c r="T53" i="12"/>
  <c r="N53" i="12"/>
  <c r="M53" i="12"/>
  <c r="P53" i="12" s="1"/>
  <c r="L53" i="12"/>
  <c r="O53" i="12" s="1"/>
  <c r="U52" i="12"/>
  <c r="T52" i="12"/>
  <c r="P52" i="12"/>
  <c r="O52" i="12"/>
  <c r="T51" i="12"/>
  <c r="S51" i="12"/>
  <c r="R51" i="12"/>
  <c r="U51" i="12" s="1"/>
  <c r="Q51" i="12"/>
  <c r="U50" i="12"/>
  <c r="T50" i="12"/>
  <c r="N50" i="12"/>
  <c r="M50" i="12"/>
  <c r="L50" i="12"/>
  <c r="L48" i="12" s="1"/>
  <c r="U49" i="12"/>
  <c r="T49" i="12"/>
  <c r="P49" i="12"/>
  <c r="O49" i="12"/>
  <c r="U48" i="12"/>
  <c r="S48" i="12"/>
  <c r="R48" i="12"/>
  <c r="Q48" i="12"/>
  <c r="T48" i="12" s="1"/>
  <c r="U47" i="12"/>
  <c r="S47" i="12"/>
  <c r="R47" i="12"/>
  <c r="Q47" i="12"/>
  <c r="T47" i="12" s="1"/>
  <c r="U46" i="12"/>
  <c r="S46" i="12"/>
  <c r="R46" i="12"/>
  <c r="R45" i="12" s="1"/>
  <c r="U45" i="12" s="1"/>
  <c r="Q46" i="12"/>
  <c r="T46" i="12" s="1"/>
  <c r="O46" i="12"/>
  <c r="N46" i="12"/>
  <c r="M46" i="12"/>
  <c r="P46" i="12" s="1"/>
  <c r="L46" i="12"/>
  <c r="S45" i="12"/>
  <c r="S27" i="12"/>
  <c r="R27" i="12"/>
  <c r="U27" i="12" s="1"/>
  <c r="Q27" i="12"/>
  <c r="T27" i="12" s="1"/>
  <c r="S26" i="12"/>
  <c r="R26" i="12"/>
  <c r="U26" i="12" s="1"/>
  <c r="Q26" i="12"/>
  <c r="T26" i="12" s="1"/>
  <c r="N26" i="12"/>
  <c r="M26" i="12"/>
  <c r="P26" i="12" s="1"/>
  <c r="L26" i="12"/>
  <c r="O26" i="12" s="1"/>
  <c r="S23" i="12"/>
  <c r="R23" i="12"/>
  <c r="U23" i="12" s="1"/>
  <c r="Q23" i="12"/>
  <c r="T23" i="12" s="1"/>
  <c r="N23" i="12"/>
  <c r="M23" i="12"/>
  <c r="L23" i="12"/>
  <c r="O23" i="12" s="1"/>
  <c r="A788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H777" i="11"/>
  <c r="I776" i="11"/>
  <c r="I775" i="11"/>
  <c r="I774" i="11"/>
  <c r="I772" i="11"/>
  <c r="K772" i="11" s="1"/>
  <c r="I770" i="11"/>
  <c r="K770" i="11" s="1"/>
  <c r="U768" i="11"/>
  <c r="T768" i="11"/>
  <c r="P768" i="11"/>
  <c r="O768" i="11"/>
  <c r="U767" i="11"/>
  <c r="T767" i="11"/>
  <c r="P767" i="11"/>
  <c r="O767" i="11"/>
  <c r="T766" i="11"/>
  <c r="S766" i="11"/>
  <c r="R766" i="11"/>
  <c r="U766" i="11" s="1"/>
  <c r="Q766" i="11"/>
  <c r="P766" i="11"/>
  <c r="N766" i="11"/>
  <c r="M766" i="11"/>
  <c r="L766" i="11"/>
  <c r="O766" i="11" s="1"/>
  <c r="S765" i="11"/>
  <c r="R765" i="11"/>
  <c r="R763" i="11" s="1"/>
  <c r="Q765" i="11"/>
  <c r="Q763" i="11" s="1"/>
  <c r="P765" i="11"/>
  <c r="O765" i="11"/>
  <c r="U764" i="11"/>
  <c r="T764" i="11"/>
  <c r="P764" i="11"/>
  <c r="O764" i="11"/>
  <c r="O763" i="11"/>
  <c r="N763" i="11"/>
  <c r="M763" i="11"/>
  <c r="P763" i="11" s="1"/>
  <c r="L763" i="11"/>
  <c r="O762" i="11"/>
  <c r="N762" i="11"/>
  <c r="M762" i="11"/>
  <c r="P762" i="11" s="1"/>
  <c r="L762" i="11"/>
  <c r="U761" i="11"/>
  <c r="S761" i="11"/>
  <c r="R761" i="11"/>
  <c r="Q761" i="11"/>
  <c r="T761" i="11" s="1"/>
  <c r="O761" i="11"/>
  <c r="N761" i="11"/>
  <c r="N760" i="11" s="1"/>
  <c r="M761" i="11"/>
  <c r="P761" i="11" s="1"/>
  <c r="L761" i="11"/>
  <c r="L760" i="11" s="1"/>
  <c r="O760" i="11" s="1"/>
  <c r="M760" i="11"/>
  <c r="P760" i="11" s="1"/>
  <c r="J759" i="11"/>
  <c r="J758" i="11"/>
  <c r="I756" i="11"/>
  <c r="K756" i="11" s="1"/>
  <c r="I753" i="11"/>
  <c r="K753" i="11" s="1"/>
  <c r="I750" i="11"/>
  <c r="K750" i="11" s="1"/>
  <c r="I747" i="11"/>
  <c r="K747" i="11" s="1"/>
  <c r="I745" i="11"/>
  <c r="K745" i="11" s="1"/>
  <c r="I743" i="11"/>
  <c r="K743" i="11" s="1"/>
  <c r="I741" i="11"/>
  <c r="K741" i="11" s="1"/>
  <c r="U737" i="11"/>
  <c r="T737" i="11"/>
  <c r="P737" i="11"/>
  <c r="O737" i="11"/>
  <c r="U736" i="11"/>
  <c r="T736" i="11"/>
  <c r="P736" i="11"/>
  <c r="O736" i="11"/>
  <c r="U735" i="11"/>
  <c r="S735" i="11"/>
  <c r="R735" i="11"/>
  <c r="Q735" i="11"/>
  <c r="T735" i="11" s="1"/>
  <c r="O735" i="11"/>
  <c r="N735" i="11"/>
  <c r="M735" i="11"/>
  <c r="P735" i="11" s="1"/>
  <c r="L735" i="11"/>
  <c r="S734" i="11"/>
  <c r="R734" i="11"/>
  <c r="R731" i="11" s="1"/>
  <c r="R729" i="11" s="1"/>
  <c r="Q734" i="11"/>
  <c r="Q732" i="11" s="1"/>
  <c r="P734" i="11"/>
  <c r="O734" i="11"/>
  <c r="U733" i="11"/>
  <c r="T733" i="11"/>
  <c r="P733" i="11"/>
  <c r="O733" i="11"/>
  <c r="P732" i="11"/>
  <c r="N732" i="11"/>
  <c r="M732" i="11"/>
  <c r="L732" i="11"/>
  <c r="O732" i="11" s="1"/>
  <c r="P731" i="11"/>
  <c r="N731" i="11"/>
  <c r="M731" i="11"/>
  <c r="M729" i="11" s="1"/>
  <c r="P729" i="11" s="1"/>
  <c r="L731" i="11"/>
  <c r="O731" i="11" s="1"/>
  <c r="T730" i="11"/>
  <c r="S730" i="11"/>
  <c r="R730" i="11"/>
  <c r="U730" i="11" s="1"/>
  <c r="Q730" i="11"/>
  <c r="P730" i="11"/>
  <c r="N730" i="11"/>
  <c r="N729" i="11" s="1"/>
  <c r="M730" i="11"/>
  <c r="L730" i="11"/>
  <c r="O730" i="11" s="1"/>
  <c r="L729" i="11"/>
  <c r="O729" i="11" s="1"/>
  <c r="J728" i="11"/>
  <c r="I728" i="11"/>
  <c r="K728" i="11" s="1"/>
  <c r="J727" i="11"/>
  <c r="I727" i="11"/>
  <c r="K727" i="11" s="1"/>
  <c r="U723" i="11"/>
  <c r="T723" i="11"/>
  <c r="P723" i="11"/>
  <c r="O723" i="11"/>
  <c r="U722" i="11"/>
  <c r="T722" i="11"/>
  <c r="P722" i="11"/>
  <c r="O722" i="11"/>
  <c r="T721" i="11"/>
  <c r="S721" i="11"/>
  <c r="R721" i="11"/>
  <c r="U721" i="11" s="1"/>
  <c r="Q721" i="11"/>
  <c r="P721" i="11"/>
  <c r="N721" i="11"/>
  <c r="M721" i="11"/>
  <c r="L721" i="11"/>
  <c r="O721" i="11" s="1"/>
  <c r="U720" i="11"/>
  <c r="T720" i="11"/>
  <c r="P720" i="11"/>
  <c r="O720" i="11"/>
  <c r="U719" i="11"/>
  <c r="T719" i="11"/>
  <c r="P719" i="11"/>
  <c r="O719" i="11"/>
  <c r="T718" i="11"/>
  <c r="S718" i="11"/>
  <c r="R718" i="11"/>
  <c r="U718" i="11" s="1"/>
  <c r="Q718" i="11"/>
  <c r="P718" i="11"/>
  <c r="N718" i="11"/>
  <c r="M718" i="11"/>
  <c r="L718" i="11"/>
  <c r="O718" i="11" s="1"/>
  <c r="T717" i="11"/>
  <c r="S717" i="11"/>
  <c r="S715" i="11" s="1"/>
  <c r="R717" i="11"/>
  <c r="U717" i="11" s="1"/>
  <c r="Q717" i="11"/>
  <c r="P717" i="11"/>
  <c r="N717" i="11"/>
  <c r="M717" i="11"/>
  <c r="M715" i="11" s="1"/>
  <c r="P715" i="11" s="1"/>
  <c r="L717" i="11"/>
  <c r="O717" i="11" s="1"/>
  <c r="T716" i="11"/>
  <c r="S716" i="11"/>
  <c r="R716" i="11"/>
  <c r="U716" i="11" s="1"/>
  <c r="Q716" i="11"/>
  <c r="Q715" i="11" s="1"/>
  <c r="T715" i="11" s="1"/>
  <c r="P716" i="11"/>
  <c r="N716" i="11"/>
  <c r="N715" i="11" s="1"/>
  <c r="M716" i="11"/>
  <c r="L716" i="11"/>
  <c r="O716" i="11" s="1"/>
  <c r="R715" i="11"/>
  <c r="U715" i="11" s="1"/>
  <c r="L715" i="11"/>
  <c r="O715" i="11" s="1"/>
  <c r="K713" i="11"/>
  <c r="J713" i="11"/>
  <c r="K711" i="11"/>
  <c r="J711" i="11"/>
  <c r="J710" i="11"/>
  <c r="I710" i="11"/>
  <c r="K709" i="11"/>
  <c r="J709" i="11"/>
  <c r="J708" i="11"/>
  <c r="J690" i="11" s="1"/>
  <c r="I708" i="11"/>
  <c r="K707" i="11"/>
  <c r="J707" i="11"/>
  <c r="J706" i="11"/>
  <c r="I706" i="11"/>
  <c r="K705" i="11"/>
  <c r="J705" i="11"/>
  <c r="J704" i="11"/>
  <c r="I704" i="11"/>
  <c r="K703" i="11"/>
  <c r="I701" i="11"/>
  <c r="K701" i="11" s="1"/>
  <c r="U699" i="11"/>
  <c r="T699" i="11"/>
  <c r="P699" i="11"/>
  <c r="O699" i="11"/>
  <c r="U698" i="11"/>
  <c r="T698" i="11"/>
  <c r="P698" i="11"/>
  <c r="O698" i="11"/>
  <c r="U697" i="11"/>
  <c r="S697" i="11"/>
  <c r="R697" i="11"/>
  <c r="Q697" i="11"/>
  <c r="T697" i="11" s="1"/>
  <c r="O697" i="11"/>
  <c r="N697" i="11"/>
  <c r="M697" i="11"/>
  <c r="P697" i="11" s="1"/>
  <c r="L697" i="11"/>
  <c r="S696" i="11"/>
  <c r="S694" i="11" s="1"/>
  <c r="R696" i="11"/>
  <c r="R694" i="11" s="1"/>
  <c r="Q696" i="11"/>
  <c r="Q694" i="11" s="1"/>
  <c r="P696" i="11"/>
  <c r="O696" i="11"/>
  <c r="U695" i="11"/>
  <c r="T695" i="11"/>
  <c r="P695" i="11"/>
  <c r="O695" i="11"/>
  <c r="P694" i="11"/>
  <c r="N694" i="11"/>
  <c r="M694" i="11"/>
  <c r="L694" i="11"/>
  <c r="O694" i="11" s="1"/>
  <c r="P693" i="11"/>
  <c r="N693" i="11"/>
  <c r="M693" i="11"/>
  <c r="L693" i="11"/>
  <c r="O693" i="11" s="1"/>
  <c r="T692" i="11"/>
  <c r="S692" i="11"/>
  <c r="R692" i="11"/>
  <c r="U692" i="11" s="1"/>
  <c r="Q692" i="11"/>
  <c r="P692" i="11"/>
  <c r="N692" i="11"/>
  <c r="M692" i="11"/>
  <c r="M691" i="11" s="1"/>
  <c r="P691" i="11" s="1"/>
  <c r="L692" i="11"/>
  <c r="O692" i="11" s="1"/>
  <c r="N691" i="11"/>
  <c r="J683" i="11"/>
  <c r="I683" i="11"/>
  <c r="K683" i="11" s="1"/>
  <c r="J682" i="11"/>
  <c r="I682" i="11"/>
  <c r="K682" i="11" s="1"/>
  <c r="J681" i="11"/>
  <c r="J680" i="11"/>
  <c r="I680" i="11"/>
  <c r="K680" i="11" s="1"/>
  <c r="J679" i="11"/>
  <c r="I679" i="11"/>
  <c r="J678" i="11"/>
  <c r="J677" i="11"/>
  <c r="I677" i="11"/>
  <c r="I676" i="11"/>
  <c r="I675" i="11"/>
  <c r="J674" i="11"/>
  <c r="I674" i="11"/>
  <c r="K674" i="11" s="1"/>
  <c r="J673" i="11"/>
  <c r="J672" i="11"/>
  <c r="J662" i="11"/>
  <c r="I662" i="11"/>
  <c r="I661" i="11"/>
  <c r="I658" i="11"/>
  <c r="J655" i="11"/>
  <c r="I655" i="11"/>
  <c r="K655" i="11" s="1"/>
  <c r="J654" i="11"/>
  <c r="I654" i="11"/>
  <c r="K654" i="11" s="1"/>
  <c r="J653" i="11"/>
  <c r="I653" i="11"/>
  <c r="K653" i="11" s="1"/>
  <c r="U651" i="11"/>
  <c r="T651" i="11"/>
  <c r="P651" i="11"/>
  <c r="O651" i="11"/>
  <c r="U650" i="11"/>
  <c r="T650" i="11"/>
  <c r="P650" i="11"/>
  <c r="O650" i="11"/>
  <c r="U649" i="11"/>
  <c r="S649" i="11"/>
  <c r="R649" i="11"/>
  <c r="Q649" i="11"/>
  <c r="T649" i="11" s="1"/>
  <c r="O649" i="11"/>
  <c r="N649" i="11"/>
  <c r="M649" i="11"/>
  <c r="P649" i="11" s="1"/>
  <c r="L649" i="11"/>
  <c r="S648" i="11"/>
  <c r="S646" i="11" s="1"/>
  <c r="R648" i="11"/>
  <c r="R646" i="11" s="1"/>
  <c r="Q648" i="11"/>
  <c r="P648" i="11"/>
  <c r="O648" i="11"/>
  <c r="U647" i="11"/>
  <c r="T647" i="11"/>
  <c r="P647" i="11"/>
  <c r="O647" i="11"/>
  <c r="P646" i="11"/>
  <c r="N646" i="11"/>
  <c r="M646" i="11"/>
  <c r="L646" i="11"/>
  <c r="O646" i="11" s="1"/>
  <c r="P645" i="11"/>
  <c r="N645" i="11"/>
  <c r="M645" i="11"/>
  <c r="L645" i="11"/>
  <c r="O645" i="11" s="1"/>
  <c r="T644" i="11"/>
  <c r="S644" i="11"/>
  <c r="R644" i="11"/>
  <c r="U644" i="11" s="1"/>
  <c r="Q644" i="11"/>
  <c r="P644" i="11"/>
  <c r="N644" i="11"/>
  <c r="M644" i="11"/>
  <c r="M643" i="11" s="1"/>
  <c r="P643" i="11" s="1"/>
  <c r="L644" i="11"/>
  <c r="O644" i="11" s="1"/>
  <c r="N643" i="11"/>
  <c r="J637" i="11"/>
  <c r="J636" i="11" s="1"/>
  <c r="I636" i="11"/>
  <c r="K636" i="11" s="1"/>
  <c r="J633" i="11"/>
  <c r="J627" i="11" s="1"/>
  <c r="J616" i="11" s="1"/>
  <c r="I629" i="11"/>
  <c r="K629" i="11" s="1"/>
  <c r="I628" i="11"/>
  <c r="K628" i="11" s="1"/>
  <c r="I627" i="11"/>
  <c r="I616" i="11" s="1"/>
  <c r="K616" i="11" s="1"/>
  <c r="U625" i="11"/>
  <c r="T625" i="11"/>
  <c r="P625" i="11"/>
  <c r="O625" i="11"/>
  <c r="U624" i="11"/>
  <c r="T624" i="11"/>
  <c r="P624" i="11"/>
  <c r="O624" i="11"/>
  <c r="T623" i="11"/>
  <c r="S623" i="11"/>
  <c r="R623" i="11"/>
  <c r="U623" i="11" s="1"/>
  <c r="Q623" i="11"/>
  <c r="P623" i="11"/>
  <c r="N623" i="11"/>
  <c r="M623" i="11"/>
  <c r="L623" i="11"/>
  <c r="O623" i="11" s="1"/>
  <c r="S622" i="11"/>
  <c r="R622" i="11"/>
  <c r="R620" i="11" s="1"/>
  <c r="Q622" i="11"/>
  <c r="Q620" i="11" s="1"/>
  <c r="P622" i="11"/>
  <c r="O622" i="11"/>
  <c r="U621" i="11"/>
  <c r="T621" i="11"/>
  <c r="P621" i="11"/>
  <c r="O621" i="11"/>
  <c r="O620" i="11"/>
  <c r="N620" i="11"/>
  <c r="M620" i="11"/>
  <c r="P620" i="11" s="1"/>
  <c r="L620" i="11"/>
  <c r="O619" i="11"/>
  <c r="N619" i="11"/>
  <c r="M619" i="11"/>
  <c r="P619" i="11" s="1"/>
  <c r="L619" i="11"/>
  <c r="U618" i="11"/>
  <c r="S618" i="11"/>
  <c r="R618" i="11"/>
  <c r="Q618" i="11"/>
  <c r="O618" i="11"/>
  <c r="N618" i="11"/>
  <c r="N617" i="11" s="1"/>
  <c r="M618" i="11"/>
  <c r="P618" i="11" s="1"/>
  <c r="L618" i="11"/>
  <c r="O617" i="11"/>
  <c r="L617" i="11"/>
  <c r="U608" i="11"/>
  <c r="T608" i="11"/>
  <c r="P608" i="11"/>
  <c r="O608" i="11"/>
  <c r="U607" i="11"/>
  <c r="T607" i="11"/>
  <c r="P607" i="11"/>
  <c r="O607" i="11"/>
  <c r="S606" i="11"/>
  <c r="R606" i="11"/>
  <c r="U606" i="11" s="1"/>
  <c r="Q606" i="11"/>
  <c r="T606" i="11" s="1"/>
  <c r="P606" i="11"/>
  <c r="N606" i="11"/>
  <c r="M606" i="11"/>
  <c r="L606" i="11"/>
  <c r="O606" i="11" s="1"/>
  <c r="U605" i="11"/>
  <c r="T605" i="11"/>
  <c r="P605" i="11"/>
  <c r="O605" i="11"/>
  <c r="U604" i="11"/>
  <c r="T604" i="11"/>
  <c r="P604" i="11"/>
  <c r="O604" i="11"/>
  <c r="T603" i="11"/>
  <c r="S603" i="11"/>
  <c r="R603" i="11"/>
  <c r="U603" i="11" s="1"/>
  <c r="Q603" i="11"/>
  <c r="N603" i="11"/>
  <c r="M603" i="11"/>
  <c r="P603" i="11" s="1"/>
  <c r="L603" i="11"/>
  <c r="O603" i="11" s="1"/>
  <c r="S602" i="11"/>
  <c r="R602" i="11"/>
  <c r="U602" i="11" s="1"/>
  <c r="Q602" i="11"/>
  <c r="T602" i="11" s="1"/>
  <c r="N602" i="11"/>
  <c r="M602" i="11"/>
  <c r="M600" i="11" s="1"/>
  <c r="P600" i="11" s="1"/>
  <c r="L602" i="11"/>
  <c r="O602" i="11" s="1"/>
  <c r="T601" i="11"/>
  <c r="S601" i="11"/>
  <c r="R601" i="11"/>
  <c r="U601" i="11" s="1"/>
  <c r="Q601" i="11"/>
  <c r="P601" i="11"/>
  <c r="N601" i="11"/>
  <c r="M601" i="11"/>
  <c r="L601" i="11"/>
  <c r="O601" i="11" s="1"/>
  <c r="U585" i="11"/>
  <c r="T585" i="11"/>
  <c r="P585" i="11"/>
  <c r="O585" i="11"/>
  <c r="U584" i="11"/>
  <c r="T584" i="11"/>
  <c r="P584" i="11"/>
  <c r="O584" i="11"/>
  <c r="S583" i="11"/>
  <c r="R583" i="11"/>
  <c r="U583" i="11" s="1"/>
  <c r="Q583" i="11"/>
  <c r="T583" i="11" s="1"/>
  <c r="N583" i="11"/>
  <c r="M583" i="11"/>
  <c r="P583" i="11" s="1"/>
  <c r="L583" i="11"/>
  <c r="O583" i="11" s="1"/>
  <c r="U582" i="11"/>
  <c r="T582" i="11"/>
  <c r="P582" i="11"/>
  <c r="O582" i="11"/>
  <c r="U581" i="11"/>
  <c r="T581" i="11"/>
  <c r="P581" i="11"/>
  <c r="O581" i="11"/>
  <c r="S580" i="11"/>
  <c r="R580" i="11"/>
  <c r="U580" i="11" s="1"/>
  <c r="Q580" i="11"/>
  <c r="T580" i="11" s="1"/>
  <c r="N580" i="11"/>
  <c r="M580" i="11"/>
  <c r="P580" i="11" s="1"/>
  <c r="L580" i="11"/>
  <c r="O580" i="11" s="1"/>
  <c r="S579" i="11"/>
  <c r="S577" i="11" s="1"/>
  <c r="R579" i="11"/>
  <c r="U579" i="11" s="1"/>
  <c r="Q579" i="11"/>
  <c r="T579" i="11" s="1"/>
  <c r="P579" i="11"/>
  <c r="N579" i="11"/>
  <c r="M579" i="11"/>
  <c r="L579" i="11"/>
  <c r="O579" i="11" s="1"/>
  <c r="T578" i="11"/>
  <c r="S578" i="11"/>
  <c r="R578" i="11"/>
  <c r="U578" i="11" s="1"/>
  <c r="Q578" i="11"/>
  <c r="N578" i="11"/>
  <c r="N577" i="11" s="1"/>
  <c r="M578" i="11"/>
  <c r="P578" i="11" s="1"/>
  <c r="L578" i="11"/>
  <c r="O578" i="11" s="1"/>
  <c r="J576" i="11"/>
  <c r="I576" i="11"/>
  <c r="K576" i="11" s="1"/>
  <c r="U564" i="11"/>
  <c r="T564" i="11"/>
  <c r="P564" i="11"/>
  <c r="O564" i="11"/>
  <c r="U563" i="11"/>
  <c r="T563" i="11"/>
  <c r="P563" i="11"/>
  <c r="O563" i="11"/>
  <c r="U562" i="11"/>
  <c r="S562" i="11"/>
  <c r="R562" i="11"/>
  <c r="Q562" i="11"/>
  <c r="T562" i="11" s="1"/>
  <c r="O562" i="11"/>
  <c r="N562" i="11"/>
  <c r="M562" i="11"/>
  <c r="P562" i="11" s="1"/>
  <c r="L562" i="11"/>
  <c r="U561" i="11"/>
  <c r="T561" i="11"/>
  <c r="P561" i="11"/>
  <c r="O561" i="11"/>
  <c r="U560" i="11"/>
  <c r="T560" i="11"/>
  <c r="P560" i="11"/>
  <c r="O560" i="11"/>
  <c r="S559" i="11"/>
  <c r="R559" i="11"/>
  <c r="U559" i="11" s="1"/>
  <c r="Q559" i="11"/>
  <c r="T559" i="11" s="1"/>
  <c r="O559" i="11"/>
  <c r="N559" i="11"/>
  <c r="M559" i="11"/>
  <c r="P559" i="11" s="1"/>
  <c r="L559" i="11"/>
  <c r="U558" i="11"/>
  <c r="S558" i="11"/>
  <c r="R558" i="11"/>
  <c r="Q558" i="11"/>
  <c r="T558" i="11" s="1"/>
  <c r="O558" i="11"/>
  <c r="N558" i="11"/>
  <c r="M558" i="11"/>
  <c r="P558" i="11" s="1"/>
  <c r="L558" i="11"/>
  <c r="S557" i="11"/>
  <c r="S556" i="11" s="1"/>
  <c r="R557" i="11"/>
  <c r="Q557" i="11"/>
  <c r="N557" i="11"/>
  <c r="N556" i="11" s="1"/>
  <c r="M557" i="11"/>
  <c r="P557" i="11" s="1"/>
  <c r="L557" i="11"/>
  <c r="O557" i="11" s="1"/>
  <c r="J555" i="11"/>
  <c r="I555" i="11"/>
  <c r="K555" i="11" s="1"/>
  <c r="U543" i="11"/>
  <c r="T543" i="11"/>
  <c r="P543" i="11"/>
  <c r="O543" i="11"/>
  <c r="U542" i="11"/>
  <c r="T542" i="11"/>
  <c r="P542" i="11"/>
  <c r="O542" i="11"/>
  <c r="S541" i="11"/>
  <c r="R541" i="11"/>
  <c r="U541" i="11" s="1"/>
  <c r="Q541" i="11"/>
  <c r="T541" i="11" s="1"/>
  <c r="P541" i="11"/>
  <c r="N541" i="11"/>
  <c r="M541" i="11"/>
  <c r="L541" i="11"/>
  <c r="O541" i="11" s="1"/>
  <c r="U540" i="11"/>
  <c r="T540" i="11"/>
  <c r="P540" i="11"/>
  <c r="O540" i="11"/>
  <c r="U539" i="11"/>
  <c r="T539" i="11"/>
  <c r="P539" i="11"/>
  <c r="O539" i="11"/>
  <c r="S538" i="11"/>
  <c r="R538" i="11"/>
  <c r="U538" i="11" s="1"/>
  <c r="Q538" i="11"/>
  <c r="T538" i="11" s="1"/>
  <c r="N538" i="11"/>
  <c r="M538" i="11"/>
  <c r="P538" i="11" s="1"/>
  <c r="L538" i="11"/>
  <c r="O538" i="11" s="1"/>
  <c r="S537" i="11"/>
  <c r="R537" i="11"/>
  <c r="U537" i="11" s="1"/>
  <c r="Q537" i="11"/>
  <c r="T537" i="11" s="1"/>
  <c r="N537" i="11"/>
  <c r="M537" i="11"/>
  <c r="M535" i="11" s="1"/>
  <c r="P535" i="11" s="1"/>
  <c r="L537" i="11"/>
  <c r="O537" i="11" s="1"/>
  <c r="S536" i="11"/>
  <c r="R536" i="11"/>
  <c r="U536" i="11" s="1"/>
  <c r="Q536" i="11"/>
  <c r="T536" i="11" s="1"/>
  <c r="P536" i="11"/>
  <c r="N536" i="11"/>
  <c r="M536" i="11"/>
  <c r="L536" i="11"/>
  <c r="O536" i="11" s="1"/>
  <c r="R535" i="11"/>
  <c r="U535" i="11" s="1"/>
  <c r="J534" i="11"/>
  <c r="I534" i="11"/>
  <c r="K534" i="11" s="1"/>
  <c r="K525" i="11"/>
  <c r="K524" i="11"/>
  <c r="U522" i="11"/>
  <c r="T522" i="11"/>
  <c r="N522" i="11"/>
  <c r="N520" i="11" s="1"/>
  <c r="M522" i="11"/>
  <c r="P522" i="11" s="1"/>
  <c r="L522" i="11"/>
  <c r="U521" i="11"/>
  <c r="T521" i="11"/>
  <c r="P521" i="11"/>
  <c r="O521" i="11"/>
  <c r="S520" i="11"/>
  <c r="R520" i="11"/>
  <c r="U520" i="11" s="1"/>
  <c r="Q520" i="11"/>
  <c r="T520" i="11" s="1"/>
  <c r="U519" i="11"/>
  <c r="T519" i="11"/>
  <c r="N519" i="11"/>
  <c r="N517" i="11" s="1"/>
  <c r="M519" i="11"/>
  <c r="P519" i="11" s="1"/>
  <c r="L519" i="11"/>
  <c r="L517" i="11" s="1"/>
  <c r="O517" i="11" s="1"/>
  <c r="U518" i="11"/>
  <c r="T518" i="11"/>
  <c r="P518" i="11"/>
  <c r="O518" i="11"/>
  <c r="S517" i="11"/>
  <c r="R517" i="11"/>
  <c r="U517" i="11" s="1"/>
  <c r="Q517" i="11"/>
  <c r="T517" i="11" s="1"/>
  <c r="S516" i="11"/>
  <c r="R516" i="11"/>
  <c r="Q516" i="11"/>
  <c r="T516" i="11" s="1"/>
  <c r="U515" i="11"/>
  <c r="S515" i="11"/>
  <c r="S514" i="11" s="1"/>
  <c r="R515" i="11"/>
  <c r="Q515" i="11"/>
  <c r="T515" i="11" s="1"/>
  <c r="N515" i="11"/>
  <c r="M515" i="11"/>
  <c r="L515" i="11"/>
  <c r="O515" i="11" s="1"/>
  <c r="J513" i="11"/>
  <c r="I513" i="11"/>
  <c r="K513" i="11" s="1"/>
  <c r="I510" i="11"/>
  <c r="K510" i="11" s="1"/>
  <c r="K509" i="11"/>
  <c r="I508" i="11"/>
  <c r="K508" i="11" s="1"/>
  <c r="I507" i="11"/>
  <c r="K507" i="11" s="1"/>
  <c r="I506" i="11"/>
  <c r="I505" i="11"/>
  <c r="K505" i="11" s="1"/>
  <c r="I504" i="11"/>
  <c r="K504" i="11" s="1"/>
  <c r="U502" i="11"/>
  <c r="T502" i="11"/>
  <c r="P502" i="11"/>
  <c r="O502" i="11"/>
  <c r="U501" i="11"/>
  <c r="T501" i="11"/>
  <c r="P501" i="11"/>
  <c r="O501" i="11"/>
  <c r="S500" i="11"/>
  <c r="R500" i="11"/>
  <c r="U500" i="11" s="1"/>
  <c r="Q500" i="11"/>
  <c r="T500" i="11" s="1"/>
  <c r="N500" i="11"/>
  <c r="M500" i="11"/>
  <c r="P500" i="11" s="1"/>
  <c r="L500" i="11"/>
  <c r="O500" i="11" s="1"/>
  <c r="S499" i="11"/>
  <c r="S497" i="11" s="1"/>
  <c r="R499" i="11"/>
  <c r="Q499" i="11"/>
  <c r="Q497" i="11" s="1"/>
  <c r="T497" i="11" s="1"/>
  <c r="P499" i="11"/>
  <c r="O499" i="11"/>
  <c r="U498" i="11"/>
  <c r="T498" i="11"/>
  <c r="P498" i="11"/>
  <c r="O498" i="11"/>
  <c r="N497" i="11"/>
  <c r="M497" i="11"/>
  <c r="P497" i="11" s="1"/>
  <c r="L497" i="11"/>
  <c r="O497" i="11" s="1"/>
  <c r="N496" i="11"/>
  <c r="M496" i="11"/>
  <c r="L496" i="11"/>
  <c r="O496" i="11" s="1"/>
  <c r="S495" i="11"/>
  <c r="R495" i="11"/>
  <c r="Q495" i="11"/>
  <c r="T495" i="11" s="1"/>
  <c r="N495" i="11"/>
  <c r="M495" i="11"/>
  <c r="P495" i="11" s="1"/>
  <c r="L495" i="11"/>
  <c r="O495" i="11" s="1"/>
  <c r="J486" i="11"/>
  <c r="I486" i="11"/>
  <c r="K486" i="11" s="1"/>
  <c r="J485" i="11"/>
  <c r="I485" i="11"/>
  <c r="K485" i="11" s="1"/>
  <c r="J484" i="11"/>
  <c r="J483" i="11"/>
  <c r="K478" i="11"/>
  <c r="J478" i="11"/>
  <c r="K477" i="11"/>
  <c r="J477" i="11"/>
  <c r="K476" i="11"/>
  <c r="J476" i="11"/>
  <c r="J469" i="11"/>
  <c r="J468" i="11"/>
  <c r="J461" i="11"/>
  <c r="J459" i="11" s="1"/>
  <c r="J460" i="11"/>
  <c r="I459" i="11"/>
  <c r="K459" i="11" s="1"/>
  <c r="I458" i="11"/>
  <c r="I457" i="11" s="1"/>
  <c r="K457" i="11" s="1"/>
  <c r="J448" i="11"/>
  <c r="J442" i="11" s="1"/>
  <c r="J447" i="11"/>
  <c r="J441" i="11" s="1"/>
  <c r="J424" i="11" s="1"/>
  <c r="J413" i="11" s="1"/>
  <c r="I442" i="11"/>
  <c r="K442" i="11" s="1"/>
  <c r="I441" i="11"/>
  <c r="J434" i="11"/>
  <c r="I434" i="11"/>
  <c r="K434" i="11" s="1"/>
  <c r="J433" i="11"/>
  <c r="I433" i="11"/>
  <c r="K433" i="11" s="1"/>
  <c r="J426" i="11"/>
  <c r="I426" i="11"/>
  <c r="K426" i="11" s="1"/>
  <c r="J425" i="11"/>
  <c r="I425" i="11"/>
  <c r="K425" i="11" s="1"/>
  <c r="U422" i="11"/>
  <c r="T422" i="11"/>
  <c r="P422" i="11"/>
  <c r="O422" i="11"/>
  <c r="U421" i="11"/>
  <c r="T421" i="11"/>
  <c r="P421" i="11"/>
  <c r="O421" i="11"/>
  <c r="S420" i="11"/>
  <c r="R420" i="11"/>
  <c r="U420" i="11" s="1"/>
  <c r="Q420" i="11"/>
  <c r="T420" i="11" s="1"/>
  <c r="N420" i="11"/>
  <c r="M420" i="11"/>
  <c r="P420" i="11" s="1"/>
  <c r="L420" i="11"/>
  <c r="O420" i="11" s="1"/>
  <c r="S419" i="11"/>
  <c r="S417" i="11" s="1"/>
  <c r="R419" i="11"/>
  <c r="R417" i="11" s="1"/>
  <c r="U417" i="11" s="1"/>
  <c r="Q419" i="11"/>
  <c r="Q416" i="11" s="1"/>
  <c r="T416" i="11" s="1"/>
  <c r="P419" i="11"/>
  <c r="O419" i="11"/>
  <c r="U418" i="11"/>
  <c r="T418" i="11"/>
  <c r="P418" i="11"/>
  <c r="O418" i="11"/>
  <c r="N417" i="11"/>
  <c r="M417" i="11"/>
  <c r="P417" i="11" s="1"/>
  <c r="L417" i="11"/>
  <c r="O417" i="11" s="1"/>
  <c r="N416" i="11"/>
  <c r="M416" i="11"/>
  <c r="P416" i="11" s="1"/>
  <c r="L416" i="11"/>
  <c r="O416" i="11" s="1"/>
  <c r="U415" i="11"/>
  <c r="S415" i="11"/>
  <c r="R415" i="11"/>
  <c r="Q415" i="11"/>
  <c r="N415" i="11"/>
  <c r="M415" i="11"/>
  <c r="P415" i="11" s="1"/>
  <c r="L415" i="11"/>
  <c r="O415" i="11" s="1"/>
  <c r="U401" i="11"/>
  <c r="T401" i="11"/>
  <c r="P401" i="11"/>
  <c r="O401" i="11"/>
  <c r="U400" i="11"/>
  <c r="T400" i="11"/>
  <c r="P400" i="11"/>
  <c r="O400" i="11"/>
  <c r="T399" i="11"/>
  <c r="S399" i="11"/>
  <c r="R399" i="11"/>
  <c r="U399" i="11" s="1"/>
  <c r="Q399" i="11"/>
  <c r="P399" i="11"/>
  <c r="N399" i="11"/>
  <c r="M399" i="11"/>
  <c r="L399" i="11"/>
  <c r="O399" i="11" s="1"/>
  <c r="U398" i="11"/>
  <c r="T398" i="11"/>
  <c r="P398" i="11"/>
  <c r="O398" i="11"/>
  <c r="U397" i="11"/>
  <c r="T397" i="11"/>
  <c r="P397" i="11"/>
  <c r="O397" i="11"/>
  <c r="T396" i="11"/>
  <c r="S396" i="11"/>
  <c r="R396" i="11"/>
  <c r="U396" i="11" s="1"/>
  <c r="Q396" i="11"/>
  <c r="P396" i="11"/>
  <c r="N396" i="11"/>
  <c r="M396" i="11"/>
  <c r="L396" i="11"/>
  <c r="O396" i="11" s="1"/>
  <c r="S395" i="11"/>
  <c r="R395" i="11"/>
  <c r="U395" i="11" s="1"/>
  <c r="Q395" i="11"/>
  <c r="T395" i="11" s="1"/>
  <c r="N395" i="11"/>
  <c r="M395" i="11"/>
  <c r="P395" i="11" s="1"/>
  <c r="L395" i="11"/>
  <c r="O395" i="11" s="1"/>
  <c r="S394" i="11"/>
  <c r="S393" i="11" s="1"/>
  <c r="R394" i="11"/>
  <c r="Q394" i="11"/>
  <c r="T394" i="11" s="1"/>
  <c r="N394" i="11"/>
  <c r="M394" i="11"/>
  <c r="L394" i="11"/>
  <c r="Q393" i="11"/>
  <c r="T393" i="11" s="1"/>
  <c r="J392" i="11"/>
  <c r="I392" i="11"/>
  <c r="K392" i="11" s="1"/>
  <c r="K389" i="11"/>
  <c r="K388" i="11"/>
  <c r="I387" i="11"/>
  <c r="K387" i="11" s="1"/>
  <c r="I386" i="11"/>
  <c r="I375" i="11" s="1"/>
  <c r="K375" i="11" s="1"/>
  <c r="U384" i="11"/>
  <c r="T384" i="11"/>
  <c r="P384" i="11"/>
  <c r="O384" i="11"/>
  <c r="U383" i="11"/>
  <c r="T383" i="11"/>
  <c r="P383" i="11"/>
  <c r="O383" i="11"/>
  <c r="S382" i="11"/>
  <c r="R382" i="11"/>
  <c r="U382" i="11" s="1"/>
  <c r="Q382" i="11"/>
  <c r="T382" i="11" s="1"/>
  <c r="N382" i="11"/>
  <c r="M382" i="11"/>
  <c r="P382" i="11" s="1"/>
  <c r="L382" i="11"/>
  <c r="O382" i="11" s="1"/>
  <c r="S381" i="11"/>
  <c r="S378" i="11" s="1"/>
  <c r="R381" i="11"/>
  <c r="Q379" i="11"/>
  <c r="T379" i="11" s="1"/>
  <c r="P381" i="11"/>
  <c r="O381" i="11"/>
  <c r="U380" i="11"/>
  <c r="T380" i="11"/>
  <c r="P380" i="11"/>
  <c r="O380" i="11"/>
  <c r="N379" i="11"/>
  <c r="M379" i="11"/>
  <c r="P379" i="11" s="1"/>
  <c r="L379" i="11"/>
  <c r="O379" i="11" s="1"/>
  <c r="N378" i="11"/>
  <c r="M378" i="11"/>
  <c r="P378" i="11" s="1"/>
  <c r="L378" i="11"/>
  <c r="O378" i="11" s="1"/>
  <c r="S377" i="11"/>
  <c r="R377" i="11"/>
  <c r="Q377" i="11"/>
  <c r="T377" i="11" s="1"/>
  <c r="N377" i="11"/>
  <c r="M377" i="11"/>
  <c r="L377" i="11"/>
  <c r="J375" i="11"/>
  <c r="D374" i="11"/>
  <c r="K373" i="11"/>
  <c r="J373" i="11"/>
  <c r="J372" i="11"/>
  <c r="J366" i="11" s="1"/>
  <c r="I372" i="11"/>
  <c r="I366" i="11" s="1"/>
  <c r="K371" i="11"/>
  <c r="J371" i="11"/>
  <c r="J370" i="11"/>
  <c r="I370" i="11"/>
  <c r="J369" i="11"/>
  <c r="I369" i="11"/>
  <c r="K368" i="11"/>
  <c r="J368" i="11"/>
  <c r="U365" i="11"/>
  <c r="T365" i="11"/>
  <c r="N365" i="11"/>
  <c r="N363" i="11" s="1"/>
  <c r="M365" i="11"/>
  <c r="M363" i="11" s="1"/>
  <c r="P363" i="11" s="1"/>
  <c r="L365" i="11"/>
  <c r="O365" i="11" s="1"/>
  <c r="U364" i="11"/>
  <c r="T364" i="11"/>
  <c r="P364" i="11"/>
  <c r="O364" i="11"/>
  <c r="S363" i="11"/>
  <c r="R363" i="11"/>
  <c r="U363" i="11" s="1"/>
  <c r="Q363" i="11"/>
  <c r="T363" i="11" s="1"/>
  <c r="U362" i="11"/>
  <c r="T362" i="11"/>
  <c r="N362" i="11"/>
  <c r="M362" i="11"/>
  <c r="L362" i="11"/>
  <c r="U361" i="11"/>
  <c r="T361" i="11"/>
  <c r="P361" i="11"/>
  <c r="O361" i="11"/>
  <c r="U360" i="11"/>
  <c r="T360" i="11"/>
  <c r="S360" i="11"/>
  <c r="R360" i="11"/>
  <c r="Q360" i="11"/>
  <c r="T359" i="11"/>
  <c r="S359" i="11"/>
  <c r="R359" i="11"/>
  <c r="Q359" i="11"/>
  <c r="S358" i="11"/>
  <c r="S357" i="11" s="1"/>
  <c r="R358" i="11"/>
  <c r="U358" i="11" s="1"/>
  <c r="Q358" i="11"/>
  <c r="P358" i="11"/>
  <c r="N358" i="11"/>
  <c r="M358" i="11"/>
  <c r="L358" i="11"/>
  <c r="O358" i="11" s="1"/>
  <c r="D355" i="11"/>
  <c r="J354" i="11"/>
  <c r="J353" i="11"/>
  <c r="D351" i="11"/>
  <c r="J350" i="11"/>
  <c r="J349" i="11"/>
  <c r="J348" i="11"/>
  <c r="J347" i="11"/>
  <c r="I347" i="11"/>
  <c r="J345" i="11"/>
  <c r="I345" i="11"/>
  <c r="I333" i="11" s="1"/>
  <c r="U342" i="11"/>
  <c r="T342" i="11"/>
  <c r="N342" i="11"/>
  <c r="N340" i="11" s="1"/>
  <c r="M342" i="11"/>
  <c r="L342" i="11"/>
  <c r="U341" i="11"/>
  <c r="T341" i="11"/>
  <c r="P341" i="11"/>
  <c r="O341" i="11"/>
  <c r="U340" i="11"/>
  <c r="T340" i="11"/>
  <c r="S340" i="11"/>
  <c r="R340" i="11"/>
  <c r="Q340" i="11"/>
  <c r="U339" i="11"/>
  <c r="T339" i="11"/>
  <c r="N339" i="11"/>
  <c r="M339" i="11"/>
  <c r="L339" i="11"/>
  <c r="L337" i="11" s="1"/>
  <c r="U338" i="11"/>
  <c r="T338" i="11"/>
  <c r="P338" i="11"/>
  <c r="O338" i="11"/>
  <c r="S337" i="11"/>
  <c r="R337" i="11"/>
  <c r="U337" i="11" s="1"/>
  <c r="Q337" i="11"/>
  <c r="T337" i="11" s="1"/>
  <c r="U336" i="11"/>
  <c r="S336" i="11"/>
  <c r="R336" i="11"/>
  <c r="Q336" i="11"/>
  <c r="T336" i="11" s="1"/>
  <c r="S335" i="11"/>
  <c r="R335" i="11"/>
  <c r="U335" i="11" s="1"/>
  <c r="Q335" i="11"/>
  <c r="T335" i="11" s="1"/>
  <c r="N335" i="11"/>
  <c r="M335" i="11"/>
  <c r="L335" i="11"/>
  <c r="O335" i="11" s="1"/>
  <c r="I331" i="11"/>
  <c r="K331" i="11" s="1"/>
  <c r="U329" i="11"/>
  <c r="T329" i="11"/>
  <c r="N329" i="11"/>
  <c r="M329" i="11"/>
  <c r="P329" i="11" s="1"/>
  <c r="L329" i="11"/>
  <c r="U328" i="11"/>
  <c r="T328" i="11"/>
  <c r="P328" i="11"/>
  <c r="O328" i="11"/>
  <c r="T327" i="11"/>
  <c r="S327" i="11"/>
  <c r="R327" i="11"/>
  <c r="U327" i="11" s="1"/>
  <c r="Q327" i="11"/>
  <c r="U326" i="11"/>
  <c r="T326" i="11"/>
  <c r="N326" i="11"/>
  <c r="N324" i="11" s="1"/>
  <c r="M326" i="11"/>
  <c r="P326" i="11" s="1"/>
  <c r="L326" i="11"/>
  <c r="O326" i="11" s="1"/>
  <c r="U325" i="11"/>
  <c r="T325" i="11"/>
  <c r="P325" i="11"/>
  <c r="O325" i="11"/>
  <c r="S324" i="11"/>
  <c r="R324" i="11"/>
  <c r="U324" i="11" s="1"/>
  <c r="Q324" i="11"/>
  <c r="T324" i="11" s="1"/>
  <c r="U323" i="11"/>
  <c r="T323" i="11"/>
  <c r="S323" i="11"/>
  <c r="R323" i="11"/>
  <c r="Q323" i="11"/>
  <c r="S322" i="11"/>
  <c r="S321" i="11" s="1"/>
  <c r="R322" i="11"/>
  <c r="Q322" i="11"/>
  <c r="T322" i="11" s="1"/>
  <c r="N322" i="11"/>
  <c r="M322" i="11"/>
  <c r="L322" i="11"/>
  <c r="Q321" i="11"/>
  <c r="T321" i="11" s="1"/>
  <c r="J320" i="11"/>
  <c r="I315" i="11"/>
  <c r="U312" i="11"/>
  <c r="T312" i="11"/>
  <c r="N312" i="11"/>
  <c r="N310" i="11" s="1"/>
  <c r="M312" i="11"/>
  <c r="M310" i="11" s="1"/>
  <c r="P310" i="11" s="1"/>
  <c r="L312" i="11"/>
  <c r="U311" i="11"/>
  <c r="T311" i="11"/>
  <c r="P311" i="11"/>
  <c r="O311" i="11"/>
  <c r="S310" i="11"/>
  <c r="R310" i="11"/>
  <c r="U310" i="11" s="1"/>
  <c r="Q310" i="11"/>
  <c r="T310" i="11" s="1"/>
  <c r="S309" i="11"/>
  <c r="S307" i="11" s="1"/>
  <c r="R309" i="11"/>
  <c r="R307" i="11" s="1"/>
  <c r="Q309" i="11"/>
  <c r="Q306" i="11" s="1"/>
  <c r="N309" i="11"/>
  <c r="N307" i="11" s="1"/>
  <c r="M309" i="11"/>
  <c r="M307" i="11" s="1"/>
  <c r="L309" i="11"/>
  <c r="L307" i="11" s="1"/>
  <c r="U308" i="11"/>
  <c r="T308" i="11"/>
  <c r="P308" i="11"/>
  <c r="O308" i="11"/>
  <c r="T305" i="11"/>
  <c r="S305" i="11"/>
  <c r="R305" i="11"/>
  <c r="U305" i="11" s="1"/>
  <c r="Q305" i="11"/>
  <c r="N305" i="11"/>
  <c r="M305" i="11"/>
  <c r="P305" i="11" s="1"/>
  <c r="L305" i="11"/>
  <c r="O305" i="11" s="1"/>
  <c r="J303" i="11"/>
  <c r="I297" i="11"/>
  <c r="K297" i="11" s="1"/>
  <c r="I296" i="11"/>
  <c r="K296" i="11" s="1"/>
  <c r="J294" i="11"/>
  <c r="I294" i="11"/>
  <c r="I293" i="11"/>
  <c r="I282" i="11" s="1"/>
  <c r="K282" i="11" s="1"/>
  <c r="U291" i="11"/>
  <c r="T291" i="11"/>
  <c r="N291" i="11"/>
  <c r="M291" i="11"/>
  <c r="L291" i="11"/>
  <c r="O291" i="11" s="1"/>
  <c r="U290" i="11"/>
  <c r="T290" i="11"/>
  <c r="P290" i="11"/>
  <c r="O290" i="11"/>
  <c r="U289" i="11"/>
  <c r="S289" i="11"/>
  <c r="R289" i="11"/>
  <c r="Q289" i="11"/>
  <c r="T289" i="11" s="1"/>
  <c r="U288" i="11"/>
  <c r="T288" i="11"/>
  <c r="N288" i="11"/>
  <c r="N286" i="11" s="1"/>
  <c r="M288" i="11"/>
  <c r="M286" i="11" s="1"/>
  <c r="L288" i="11"/>
  <c r="U287" i="11"/>
  <c r="T287" i="11"/>
  <c r="P287" i="11"/>
  <c r="O287" i="11"/>
  <c r="T286" i="11"/>
  <c r="S286" i="11"/>
  <c r="R286" i="11"/>
  <c r="U286" i="11" s="1"/>
  <c r="Q286" i="11"/>
  <c r="S285" i="11"/>
  <c r="R285" i="11"/>
  <c r="U285" i="11" s="1"/>
  <c r="Q285" i="11"/>
  <c r="T285" i="11" s="1"/>
  <c r="U284" i="11"/>
  <c r="T284" i="11"/>
  <c r="S284" i="11"/>
  <c r="R284" i="11"/>
  <c r="Q284" i="11"/>
  <c r="Q283" i="11" s="1"/>
  <c r="T283" i="11" s="1"/>
  <c r="P284" i="11"/>
  <c r="O284" i="11"/>
  <c r="N284" i="11"/>
  <c r="M284" i="11"/>
  <c r="L284" i="11"/>
  <c r="S283" i="11"/>
  <c r="R283" i="11"/>
  <c r="U283" i="11" s="1"/>
  <c r="J282" i="11"/>
  <c r="J281" i="11"/>
  <c r="I277" i="11"/>
  <c r="K277" i="11" s="1"/>
  <c r="U275" i="11"/>
  <c r="T275" i="11"/>
  <c r="N275" i="11"/>
  <c r="N273" i="11" s="1"/>
  <c r="M275" i="11"/>
  <c r="P275" i="11" s="1"/>
  <c r="L275" i="11"/>
  <c r="O275" i="11" s="1"/>
  <c r="U274" i="11"/>
  <c r="T274" i="11"/>
  <c r="P274" i="11"/>
  <c r="O274" i="11"/>
  <c r="S273" i="11"/>
  <c r="R273" i="11"/>
  <c r="U273" i="11" s="1"/>
  <c r="Q273" i="11"/>
  <c r="T273" i="11" s="1"/>
  <c r="S272" i="11"/>
  <c r="R272" i="11"/>
  <c r="R270" i="11" s="1"/>
  <c r="Q272" i="11"/>
  <c r="Q269" i="11" s="1"/>
  <c r="Q267" i="11" s="1"/>
  <c r="N272" i="11"/>
  <c r="M272" i="11"/>
  <c r="L272" i="11"/>
  <c r="U271" i="11"/>
  <c r="T271" i="11"/>
  <c r="P271" i="11"/>
  <c r="O271" i="11"/>
  <c r="S268" i="11"/>
  <c r="R268" i="11"/>
  <c r="U268" i="11" s="1"/>
  <c r="Q268" i="11"/>
  <c r="T268" i="11" s="1"/>
  <c r="N268" i="11"/>
  <c r="M268" i="11"/>
  <c r="L268" i="11"/>
  <c r="O268" i="11" s="1"/>
  <c r="J266" i="11"/>
  <c r="K264" i="11"/>
  <c r="K263" i="11"/>
  <c r="I261" i="11"/>
  <c r="L259" i="11"/>
  <c r="L258" i="11"/>
  <c r="L257" i="11"/>
  <c r="L256" i="11"/>
  <c r="P255" i="11"/>
  <c r="N255" i="11"/>
  <c r="J254" i="11"/>
  <c r="K253" i="11"/>
  <c r="K252" i="11"/>
  <c r="I250" i="11"/>
  <c r="K250" i="11" s="1"/>
  <c r="L248" i="11"/>
  <c r="L247" i="11"/>
  <c r="L246" i="11"/>
  <c r="L245" i="11"/>
  <c r="P244" i="11"/>
  <c r="N244" i="11"/>
  <c r="J243" i="11"/>
  <c r="J242" i="11"/>
  <c r="I242" i="11"/>
  <c r="K242" i="11" s="1"/>
  <c r="K241" i="11"/>
  <c r="J241" i="11"/>
  <c r="I241" i="11"/>
  <c r="J239" i="11"/>
  <c r="N237" i="11"/>
  <c r="N236" i="11"/>
  <c r="N235" i="11"/>
  <c r="N234" i="11"/>
  <c r="N233" i="11"/>
  <c r="J232" i="11"/>
  <c r="J186" i="11" s="1"/>
  <c r="I231" i="11"/>
  <c r="K231" i="11" s="1"/>
  <c r="I230" i="11"/>
  <c r="K230" i="11" s="1"/>
  <c r="I229" i="11"/>
  <c r="K229" i="11" s="1"/>
  <c r="L226" i="11"/>
  <c r="L225" i="11"/>
  <c r="L224" i="11"/>
  <c r="P223" i="11"/>
  <c r="N223" i="11"/>
  <c r="J222" i="11"/>
  <c r="I221" i="11"/>
  <c r="K221" i="11" s="1"/>
  <c r="I220" i="11"/>
  <c r="K220" i="11" s="1"/>
  <c r="L218" i="11"/>
  <c r="L217" i="11"/>
  <c r="L216" i="11"/>
  <c r="P215" i="11"/>
  <c r="N215" i="11"/>
  <c r="J214" i="11"/>
  <c r="I213" i="11"/>
  <c r="K213" i="11" s="1"/>
  <c r="I212" i="11"/>
  <c r="K212" i="11" s="1"/>
  <c r="I210" i="11"/>
  <c r="L208" i="11"/>
  <c r="L207" i="11"/>
  <c r="L206" i="11"/>
  <c r="L205" i="11"/>
  <c r="P204" i="11"/>
  <c r="N204" i="11"/>
  <c r="J203" i="11"/>
  <c r="J200" i="11"/>
  <c r="I199" i="11"/>
  <c r="K199" i="11" s="1"/>
  <c r="P197" i="11"/>
  <c r="L197" i="11"/>
  <c r="O197" i="11" s="1"/>
  <c r="J196" i="11"/>
  <c r="U195" i="11"/>
  <c r="T195" i="11"/>
  <c r="N195" i="11"/>
  <c r="N193" i="11" s="1"/>
  <c r="M195" i="11"/>
  <c r="L195" i="11"/>
  <c r="O195" i="11" s="1"/>
  <c r="U194" i="11"/>
  <c r="T194" i="11"/>
  <c r="P194" i="11"/>
  <c r="O194" i="11"/>
  <c r="S193" i="11"/>
  <c r="R193" i="11"/>
  <c r="U193" i="11" s="1"/>
  <c r="Q193" i="11"/>
  <c r="T193" i="11" s="1"/>
  <c r="S192" i="11"/>
  <c r="S190" i="11" s="1"/>
  <c r="R192" i="11"/>
  <c r="R190" i="11" s="1"/>
  <c r="Q192" i="11"/>
  <c r="N192" i="11"/>
  <c r="N190" i="11" s="1"/>
  <c r="M192" i="11"/>
  <c r="M190" i="11" s="1"/>
  <c r="L192" i="11"/>
  <c r="L190" i="11" s="1"/>
  <c r="U191" i="11"/>
  <c r="T191" i="11"/>
  <c r="P191" i="11"/>
  <c r="O191" i="11"/>
  <c r="U188" i="11"/>
  <c r="S188" i="11"/>
  <c r="R188" i="11"/>
  <c r="Q188" i="11"/>
  <c r="T188" i="11" s="1"/>
  <c r="O188" i="11"/>
  <c r="N188" i="11"/>
  <c r="M188" i="11"/>
  <c r="L188" i="11"/>
  <c r="K185" i="11"/>
  <c r="I184" i="11"/>
  <c r="K184" i="11" s="1"/>
  <c r="U182" i="11"/>
  <c r="T182" i="11"/>
  <c r="N182" i="11"/>
  <c r="N180" i="11" s="1"/>
  <c r="M182" i="11"/>
  <c r="L182" i="11"/>
  <c r="U181" i="11"/>
  <c r="T181" i="11"/>
  <c r="P181" i="11"/>
  <c r="O181" i="11"/>
  <c r="U180" i="11"/>
  <c r="T180" i="11"/>
  <c r="S180" i="11"/>
  <c r="R180" i="11"/>
  <c r="Q180" i="11"/>
  <c r="S179" i="11"/>
  <c r="S177" i="11" s="1"/>
  <c r="R179" i="11"/>
  <c r="R176" i="11" s="1"/>
  <c r="Q179" i="11"/>
  <c r="Q176" i="11" s="1"/>
  <c r="N179" i="11"/>
  <c r="N177" i="11" s="1"/>
  <c r="M179" i="11"/>
  <c r="L179" i="11"/>
  <c r="U178" i="11"/>
  <c r="T178" i="11"/>
  <c r="P178" i="11"/>
  <c r="O178" i="11"/>
  <c r="S175" i="11"/>
  <c r="R175" i="11"/>
  <c r="U175" i="11" s="1"/>
  <c r="Q175" i="11"/>
  <c r="T175" i="11" s="1"/>
  <c r="N175" i="11"/>
  <c r="M175" i="11"/>
  <c r="L175" i="11"/>
  <c r="O175" i="11" s="1"/>
  <c r="J173" i="11"/>
  <c r="I168" i="11"/>
  <c r="I170" i="11" s="1"/>
  <c r="K170" i="11" s="1"/>
  <c r="U166" i="11"/>
  <c r="T166" i="11"/>
  <c r="N166" i="11"/>
  <c r="N164" i="11" s="1"/>
  <c r="M166" i="11"/>
  <c r="M164" i="11" s="1"/>
  <c r="P164" i="11" s="1"/>
  <c r="L166" i="11"/>
  <c r="O166" i="11" s="1"/>
  <c r="U165" i="11"/>
  <c r="T165" i="11"/>
  <c r="P165" i="11"/>
  <c r="O165" i="11"/>
  <c r="T164" i="11"/>
  <c r="S164" i="11"/>
  <c r="R164" i="11"/>
  <c r="U164" i="11" s="1"/>
  <c r="Q164" i="11"/>
  <c r="S163" i="11"/>
  <c r="S160" i="11" s="1"/>
  <c r="R163" i="11"/>
  <c r="U163" i="11" s="1"/>
  <c r="N163" i="11"/>
  <c r="M163" i="11"/>
  <c r="M161" i="11" s="1"/>
  <c r="L163" i="11"/>
  <c r="U162" i="11"/>
  <c r="T162" i="11"/>
  <c r="P162" i="11"/>
  <c r="O162" i="11"/>
  <c r="S159" i="11"/>
  <c r="R159" i="11"/>
  <c r="U159" i="11" s="1"/>
  <c r="Q159" i="11"/>
  <c r="T159" i="11" s="1"/>
  <c r="N159" i="11"/>
  <c r="M159" i="11"/>
  <c r="P159" i="11" s="1"/>
  <c r="L159" i="11"/>
  <c r="O159" i="11" s="1"/>
  <c r="J157" i="11"/>
  <c r="I155" i="11"/>
  <c r="I137" i="11" s="1"/>
  <c r="K137" i="11" s="1"/>
  <c r="I154" i="11"/>
  <c r="K154" i="11" s="1"/>
  <c r="I153" i="11"/>
  <c r="K153" i="11" s="1"/>
  <c r="I152" i="11"/>
  <c r="K152" i="11" s="1"/>
  <c r="I151" i="11"/>
  <c r="K151" i="11" s="1"/>
  <c r="U148" i="11"/>
  <c r="T148" i="11"/>
  <c r="N148" i="11"/>
  <c r="N146" i="11" s="1"/>
  <c r="M148" i="11"/>
  <c r="M146" i="11" s="1"/>
  <c r="P146" i="11" s="1"/>
  <c r="L148" i="11"/>
  <c r="U147" i="11"/>
  <c r="T147" i="11"/>
  <c r="P147" i="11"/>
  <c r="O147" i="11"/>
  <c r="S146" i="11"/>
  <c r="R146" i="11"/>
  <c r="U146" i="11" s="1"/>
  <c r="Q146" i="11"/>
  <c r="T146" i="11" s="1"/>
  <c r="S145" i="11"/>
  <c r="R145" i="11"/>
  <c r="R142" i="11" s="1"/>
  <c r="U142" i="11" s="1"/>
  <c r="Q145" i="11"/>
  <c r="N145" i="11"/>
  <c r="N143" i="11" s="1"/>
  <c r="M145" i="11"/>
  <c r="L145" i="11"/>
  <c r="U144" i="11"/>
  <c r="T144" i="11"/>
  <c r="P144" i="11"/>
  <c r="O144" i="11"/>
  <c r="S141" i="11"/>
  <c r="R141" i="11"/>
  <c r="U141" i="11" s="1"/>
  <c r="Q141" i="11"/>
  <c r="T141" i="11" s="1"/>
  <c r="N141" i="11"/>
  <c r="M141" i="11"/>
  <c r="L141" i="11"/>
  <c r="O141" i="11" s="1"/>
  <c r="J139" i="11"/>
  <c r="J138" i="11"/>
  <c r="J137" i="11"/>
  <c r="I131" i="11"/>
  <c r="K131" i="11" s="1"/>
  <c r="I130" i="11"/>
  <c r="K130" i="11" s="1"/>
  <c r="I129" i="11"/>
  <c r="K129" i="11" s="1"/>
  <c r="I128" i="11"/>
  <c r="K128" i="11" s="1"/>
  <c r="U126" i="11"/>
  <c r="T126" i="11"/>
  <c r="N126" i="11"/>
  <c r="N124" i="11" s="1"/>
  <c r="M126" i="11"/>
  <c r="L126" i="11"/>
  <c r="O126" i="11" s="1"/>
  <c r="U125" i="11"/>
  <c r="T125" i="11"/>
  <c r="P125" i="11"/>
  <c r="O125" i="11"/>
  <c r="U124" i="11"/>
  <c r="T124" i="11"/>
  <c r="S124" i="11"/>
  <c r="R124" i="11"/>
  <c r="Q124" i="11"/>
  <c r="S123" i="11"/>
  <c r="S121" i="11" s="1"/>
  <c r="R123" i="11"/>
  <c r="Q123" i="11"/>
  <c r="Q120" i="11" s="1"/>
  <c r="N123" i="11"/>
  <c r="N121" i="11" s="1"/>
  <c r="M123" i="11"/>
  <c r="L123" i="11"/>
  <c r="O123" i="11" s="1"/>
  <c r="U122" i="11"/>
  <c r="T122" i="11"/>
  <c r="P122" i="11"/>
  <c r="O122" i="11"/>
  <c r="T119" i="11"/>
  <c r="S119" i="11"/>
  <c r="R119" i="11"/>
  <c r="U119" i="11" s="1"/>
  <c r="Q119" i="11"/>
  <c r="N119" i="11"/>
  <c r="M119" i="11"/>
  <c r="P119" i="11" s="1"/>
  <c r="L119" i="11"/>
  <c r="O119" i="11" s="1"/>
  <c r="J117" i="11"/>
  <c r="I115" i="11"/>
  <c r="K115" i="11" s="1"/>
  <c r="I114" i="11"/>
  <c r="K114" i="11" s="1"/>
  <c r="I110" i="11"/>
  <c r="K110" i="11" s="1"/>
  <c r="I109" i="11"/>
  <c r="I93" i="11" s="1"/>
  <c r="K93" i="11" s="1"/>
  <c r="U103" i="11"/>
  <c r="T103" i="11"/>
  <c r="N103" i="11"/>
  <c r="N101" i="11" s="1"/>
  <c r="M103" i="11"/>
  <c r="L103" i="11"/>
  <c r="L101" i="11" s="1"/>
  <c r="O101" i="11" s="1"/>
  <c r="U102" i="11"/>
  <c r="T102" i="11"/>
  <c r="P102" i="11"/>
  <c r="O102" i="11"/>
  <c r="U101" i="11"/>
  <c r="S101" i="11"/>
  <c r="R101" i="11"/>
  <c r="Q101" i="11"/>
  <c r="T101" i="11" s="1"/>
  <c r="S100" i="11"/>
  <c r="S98" i="11" s="1"/>
  <c r="R100" i="11"/>
  <c r="R98" i="11" s="1"/>
  <c r="Q100" i="11"/>
  <c r="Q98" i="11" s="1"/>
  <c r="N100" i="11"/>
  <c r="M100" i="11"/>
  <c r="L100" i="11"/>
  <c r="L98" i="11" s="1"/>
  <c r="O98" i="11" s="1"/>
  <c r="U99" i="11"/>
  <c r="T99" i="11"/>
  <c r="P99" i="11"/>
  <c r="O99" i="11"/>
  <c r="S96" i="11"/>
  <c r="R96" i="11"/>
  <c r="Q96" i="11"/>
  <c r="T96" i="11" s="1"/>
  <c r="N96" i="11"/>
  <c r="M96" i="11"/>
  <c r="L96" i="11"/>
  <c r="J94" i="11"/>
  <c r="J93" i="11"/>
  <c r="I91" i="11"/>
  <c r="K91" i="11" s="1"/>
  <c r="I90" i="11"/>
  <c r="K90" i="11" s="1"/>
  <c r="I89" i="11"/>
  <c r="K89" i="11" s="1"/>
  <c r="I88" i="11"/>
  <c r="K88" i="11" s="1"/>
  <c r="I87" i="11"/>
  <c r="K87" i="11" s="1"/>
  <c r="I86" i="11"/>
  <c r="K86" i="11" s="1"/>
  <c r="I85" i="11"/>
  <c r="J84" i="11"/>
  <c r="J72" i="11" s="1"/>
  <c r="J83" i="11"/>
  <c r="U81" i="11"/>
  <c r="T81" i="11"/>
  <c r="N81" i="11"/>
  <c r="N79" i="11" s="1"/>
  <c r="M81" i="11"/>
  <c r="P81" i="11" s="1"/>
  <c r="L81" i="11"/>
  <c r="U80" i="11"/>
  <c r="T80" i="11"/>
  <c r="P80" i="11"/>
  <c r="O80" i="11"/>
  <c r="U79" i="11"/>
  <c r="T79" i="11"/>
  <c r="S79" i="11"/>
  <c r="R79" i="11"/>
  <c r="Q79" i="11"/>
  <c r="S78" i="11"/>
  <c r="R78" i="11"/>
  <c r="R75" i="11" s="1"/>
  <c r="Q78" i="11"/>
  <c r="Q76" i="11" s="1"/>
  <c r="N78" i="11"/>
  <c r="N76" i="11" s="1"/>
  <c r="M78" i="11"/>
  <c r="L78" i="11"/>
  <c r="U77" i="11"/>
  <c r="T77" i="11"/>
  <c r="P77" i="11"/>
  <c r="O77" i="11"/>
  <c r="S74" i="11"/>
  <c r="R74" i="11"/>
  <c r="U74" i="11" s="1"/>
  <c r="Q74" i="11"/>
  <c r="N74" i="11"/>
  <c r="M74" i="11"/>
  <c r="P74" i="11" s="1"/>
  <c r="L74" i="11"/>
  <c r="O74" i="11" s="1"/>
  <c r="J71" i="11"/>
  <c r="U68" i="11"/>
  <c r="T68" i="11"/>
  <c r="N68" i="11"/>
  <c r="N66" i="11" s="1"/>
  <c r="M68" i="11"/>
  <c r="L68" i="11"/>
  <c r="O68" i="11" s="1"/>
  <c r="U67" i="11"/>
  <c r="T67" i="11"/>
  <c r="P67" i="11"/>
  <c r="O67" i="11"/>
  <c r="S66" i="11"/>
  <c r="R66" i="11"/>
  <c r="U66" i="11" s="1"/>
  <c r="Q66" i="11"/>
  <c r="T66" i="11" s="1"/>
  <c r="U65" i="11"/>
  <c r="T65" i="11"/>
  <c r="N65" i="11"/>
  <c r="N63" i="11" s="1"/>
  <c r="M65" i="11"/>
  <c r="M63" i="11" s="1"/>
  <c r="L65" i="11"/>
  <c r="U64" i="11"/>
  <c r="T64" i="11"/>
  <c r="P64" i="11"/>
  <c r="O64" i="11"/>
  <c r="U63" i="11"/>
  <c r="T63" i="11"/>
  <c r="S63" i="11"/>
  <c r="R63" i="11"/>
  <c r="Q63" i="11"/>
  <c r="T62" i="11"/>
  <c r="S62" i="11"/>
  <c r="R62" i="11"/>
  <c r="U62" i="11" s="1"/>
  <c r="Q62" i="11"/>
  <c r="U61" i="11"/>
  <c r="S61" i="11"/>
  <c r="R61" i="11"/>
  <c r="Q61" i="11"/>
  <c r="P61" i="11"/>
  <c r="O61" i="11"/>
  <c r="N61" i="11"/>
  <c r="M61" i="11"/>
  <c r="L61" i="11"/>
  <c r="S60" i="11"/>
  <c r="U53" i="11"/>
  <c r="T53" i="11"/>
  <c r="N53" i="11"/>
  <c r="M53" i="11"/>
  <c r="P53" i="11" s="1"/>
  <c r="L53" i="11"/>
  <c r="O53" i="11" s="1"/>
  <c r="U52" i="11"/>
  <c r="T52" i="11"/>
  <c r="P52" i="11"/>
  <c r="O52" i="11"/>
  <c r="S51" i="11"/>
  <c r="R51" i="11"/>
  <c r="U51" i="11" s="1"/>
  <c r="Q51" i="11"/>
  <c r="T51" i="11" s="1"/>
  <c r="U50" i="11"/>
  <c r="T50" i="11"/>
  <c r="N50" i="11"/>
  <c r="M50" i="11"/>
  <c r="L50" i="11"/>
  <c r="U49" i="11"/>
  <c r="T49" i="11"/>
  <c r="P49" i="11"/>
  <c r="O49" i="11"/>
  <c r="U48" i="11"/>
  <c r="T48" i="11"/>
  <c r="S48" i="11"/>
  <c r="R48" i="11"/>
  <c r="Q48" i="11"/>
  <c r="T47" i="11"/>
  <c r="S47" i="11"/>
  <c r="R47" i="11"/>
  <c r="U47" i="11" s="1"/>
  <c r="Q47" i="11"/>
  <c r="U46" i="11"/>
  <c r="S46" i="11"/>
  <c r="R46" i="11"/>
  <c r="Q46" i="11"/>
  <c r="P46" i="11"/>
  <c r="O46" i="11"/>
  <c r="N46" i="11"/>
  <c r="M46" i="11"/>
  <c r="L46" i="11"/>
  <c r="S45" i="11"/>
  <c r="S27" i="11"/>
  <c r="R27" i="11"/>
  <c r="U27" i="11" s="1"/>
  <c r="Q27" i="11"/>
  <c r="T27" i="11" s="1"/>
  <c r="U26" i="11"/>
  <c r="S26" i="11"/>
  <c r="S25" i="11" s="1"/>
  <c r="R26" i="11"/>
  <c r="Q26" i="11"/>
  <c r="Q25" i="11" s="1"/>
  <c r="T25" i="11" s="1"/>
  <c r="N26" i="11"/>
  <c r="M26" i="11"/>
  <c r="P26" i="11" s="1"/>
  <c r="L26" i="11"/>
  <c r="O26" i="11" s="1"/>
  <c r="R25" i="11"/>
  <c r="U25" i="11" s="1"/>
  <c r="S23" i="11"/>
  <c r="R23" i="11"/>
  <c r="U23" i="11" s="1"/>
  <c r="Q23" i="11"/>
  <c r="N23" i="11"/>
  <c r="M23" i="11"/>
  <c r="P23" i="11" s="1"/>
  <c r="L23" i="11"/>
  <c r="O23" i="11" s="1"/>
  <c r="A788" i="10"/>
  <c r="J785" i="10"/>
  <c r="I785" i="10"/>
  <c r="J784" i="10"/>
  <c r="I784" i="10"/>
  <c r="J783" i="10"/>
  <c r="I783" i="10"/>
  <c r="K783" i="10" s="1"/>
  <c r="J782" i="10"/>
  <c r="I782" i="10"/>
  <c r="K782" i="10" s="1"/>
  <c r="J781" i="10"/>
  <c r="I781" i="10"/>
  <c r="J780" i="10"/>
  <c r="I780" i="10"/>
  <c r="J779" i="10"/>
  <c r="I779" i="10"/>
  <c r="J778" i="10"/>
  <c r="I778" i="10"/>
  <c r="H777" i="10"/>
  <c r="I776" i="10"/>
  <c r="I775" i="10"/>
  <c r="I774" i="10"/>
  <c r="I772" i="10"/>
  <c r="K772" i="10" s="1"/>
  <c r="I770" i="10"/>
  <c r="K770" i="10" s="1"/>
  <c r="U768" i="10"/>
  <c r="T768" i="10"/>
  <c r="P768" i="10"/>
  <c r="O768" i="10"/>
  <c r="U767" i="10"/>
  <c r="T767" i="10"/>
  <c r="P767" i="10"/>
  <c r="O767" i="10"/>
  <c r="U766" i="10"/>
  <c r="S766" i="10"/>
  <c r="R766" i="10"/>
  <c r="Q766" i="10"/>
  <c r="T766" i="10" s="1"/>
  <c r="P766" i="10"/>
  <c r="O766" i="10"/>
  <c r="N766" i="10"/>
  <c r="M766" i="10"/>
  <c r="L766" i="10"/>
  <c r="S765" i="10"/>
  <c r="S762" i="10" s="1"/>
  <c r="S760" i="10" s="1"/>
  <c r="R765" i="10"/>
  <c r="U765" i="10" s="1"/>
  <c r="Q765" i="10"/>
  <c r="Q763" i="10" s="1"/>
  <c r="T763" i="10" s="1"/>
  <c r="P765" i="10"/>
  <c r="O765" i="10"/>
  <c r="U764" i="10"/>
  <c r="T764" i="10"/>
  <c r="P764" i="10"/>
  <c r="O764" i="10"/>
  <c r="N763" i="10"/>
  <c r="M763" i="10"/>
  <c r="P763" i="10" s="1"/>
  <c r="L763" i="10"/>
  <c r="O763" i="10" s="1"/>
  <c r="P762" i="10"/>
  <c r="N762" i="10"/>
  <c r="M762" i="10"/>
  <c r="L762" i="10"/>
  <c r="O762" i="10" s="1"/>
  <c r="T761" i="10"/>
  <c r="S761" i="10"/>
  <c r="R761" i="10"/>
  <c r="Q761" i="10"/>
  <c r="P761" i="10"/>
  <c r="N761" i="10"/>
  <c r="M761" i="10"/>
  <c r="L761" i="10"/>
  <c r="N760" i="10"/>
  <c r="M760" i="10"/>
  <c r="P760" i="10" s="1"/>
  <c r="J759" i="10"/>
  <c r="J758" i="10"/>
  <c r="I756" i="10"/>
  <c r="K756" i="10" s="1"/>
  <c r="I753" i="10"/>
  <c r="K753" i="10" s="1"/>
  <c r="I750" i="10"/>
  <c r="K750" i="10" s="1"/>
  <c r="I747" i="10"/>
  <c r="K747" i="10" s="1"/>
  <c r="I745" i="10"/>
  <c r="K745" i="10" s="1"/>
  <c r="I743" i="10"/>
  <c r="K743" i="10" s="1"/>
  <c r="I741" i="10"/>
  <c r="K741" i="10" s="1"/>
  <c r="U737" i="10"/>
  <c r="T737" i="10"/>
  <c r="P737" i="10"/>
  <c r="O737" i="10"/>
  <c r="U736" i="10"/>
  <c r="T736" i="10"/>
  <c r="P736" i="10"/>
  <c r="O736" i="10"/>
  <c r="T735" i="10"/>
  <c r="S735" i="10"/>
  <c r="R735" i="10"/>
  <c r="U735" i="10" s="1"/>
  <c r="Q735" i="10"/>
  <c r="P735" i="10"/>
  <c r="N735" i="10"/>
  <c r="M735" i="10"/>
  <c r="L735" i="10"/>
  <c r="O735" i="10" s="1"/>
  <c r="S734" i="10"/>
  <c r="S732" i="10" s="1"/>
  <c r="R734" i="10"/>
  <c r="Q734" i="10"/>
  <c r="Q731" i="10" s="1"/>
  <c r="P734" i="10"/>
  <c r="O734" i="10"/>
  <c r="U733" i="10"/>
  <c r="T733" i="10"/>
  <c r="P733" i="10"/>
  <c r="O733" i="10"/>
  <c r="N732" i="10"/>
  <c r="M732" i="10"/>
  <c r="P732" i="10" s="1"/>
  <c r="L732" i="10"/>
  <c r="O732" i="10" s="1"/>
  <c r="O731" i="10"/>
  <c r="N731" i="10"/>
  <c r="M731" i="10"/>
  <c r="L731" i="10"/>
  <c r="U730" i="10"/>
  <c r="S730" i="10"/>
  <c r="R730" i="10"/>
  <c r="Q730" i="10"/>
  <c r="O730" i="10"/>
  <c r="N730" i="10"/>
  <c r="N729" i="10" s="1"/>
  <c r="M730" i="10"/>
  <c r="P730" i="10" s="1"/>
  <c r="L730" i="10"/>
  <c r="L729" i="10"/>
  <c r="O729" i="10" s="1"/>
  <c r="J728" i="10"/>
  <c r="I728" i="10"/>
  <c r="K728" i="10" s="1"/>
  <c r="J727" i="10"/>
  <c r="I727" i="10"/>
  <c r="U723" i="10"/>
  <c r="T723" i="10"/>
  <c r="P723" i="10"/>
  <c r="O723" i="10"/>
  <c r="U722" i="10"/>
  <c r="T722" i="10"/>
  <c r="P722" i="10"/>
  <c r="O722" i="10"/>
  <c r="S721" i="10"/>
  <c r="R721" i="10"/>
  <c r="U721" i="10" s="1"/>
  <c r="Q721" i="10"/>
  <c r="T721" i="10" s="1"/>
  <c r="N721" i="10"/>
  <c r="M721" i="10"/>
  <c r="P721" i="10" s="1"/>
  <c r="L721" i="10"/>
  <c r="O721" i="10" s="1"/>
  <c r="U720" i="10"/>
  <c r="T720" i="10"/>
  <c r="P720" i="10"/>
  <c r="O720" i="10"/>
  <c r="U719" i="10"/>
  <c r="T719" i="10"/>
  <c r="P719" i="10"/>
  <c r="O719" i="10"/>
  <c r="U718" i="10"/>
  <c r="S718" i="10"/>
  <c r="R718" i="10"/>
  <c r="Q718" i="10"/>
  <c r="T718" i="10" s="1"/>
  <c r="N718" i="10"/>
  <c r="M718" i="10"/>
  <c r="P718" i="10" s="1"/>
  <c r="L718" i="10"/>
  <c r="O718" i="10" s="1"/>
  <c r="U717" i="10"/>
  <c r="S717" i="10"/>
  <c r="S715" i="10" s="1"/>
  <c r="R717" i="10"/>
  <c r="Q717" i="10"/>
  <c r="T717" i="10" s="1"/>
  <c r="O717" i="10"/>
  <c r="N717" i="10"/>
  <c r="M717" i="10"/>
  <c r="L717" i="10"/>
  <c r="U716" i="10"/>
  <c r="S716" i="10"/>
  <c r="R716" i="10"/>
  <c r="Q716" i="10"/>
  <c r="O716" i="10"/>
  <c r="N716" i="10"/>
  <c r="N715" i="10" s="1"/>
  <c r="M716" i="10"/>
  <c r="P716" i="10" s="1"/>
  <c r="L716" i="10"/>
  <c r="R715" i="10"/>
  <c r="U715" i="10" s="1"/>
  <c r="L715" i="10"/>
  <c r="O715" i="10" s="1"/>
  <c r="K713" i="10"/>
  <c r="J713" i="10"/>
  <c r="K711" i="10"/>
  <c r="J711" i="10"/>
  <c r="J710" i="10"/>
  <c r="I710" i="10"/>
  <c r="K709" i="10"/>
  <c r="J709" i="10"/>
  <c r="J708" i="10"/>
  <c r="J690" i="10" s="1"/>
  <c r="I708" i="10"/>
  <c r="K707" i="10"/>
  <c r="J707" i="10"/>
  <c r="J706" i="10"/>
  <c r="I706" i="10"/>
  <c r="K705" i="10"/>
  <c r="J705" i="10"/>
  <c r="J704" i="10"/>
  <c r="I704" i="10"/>
  <c r="K703" i="10"/>
  <c r="I701" i="10"/>
  <c r="K701" i="10" s="1"/>
  <c r="U699" i="10"/>
  <c r="T699" i="10"/>
  <c r="P699" i="10"/>
  <c r="O699" i="10"/>
  <c r="U698" i="10"/>
  <c r="T698" i="10"/>
  <c r="P698" i="10"/>
  <c r="O698" i="10"/>
  <c r="S697" i="10"/>
  <c r="R697" i="10"/>
  <c r="U697" i="10" s="1"/>
  <c r="Q697" i="10"/>
  <c r="T697" i="10" s="1"/>
  <c r="P697" i="10"/>
  <c r="N697" i="10"/>
  <c r="M697" i="10"/>
  <c r="L697" i="10"/>
  <c r="O697" i="10" s="1"/>
  <c r="S696" i="10"/>
  <c r="R696" i="10"/>
  <c r="R693" i="10" s="1"/>
  <c r="Q696" i="10"/>
  <c r="Q693" i="10" s="1"/>
  <c r="P696" i="10"/>
  <c r="O696" i="10"/>
  <c r="U695" i="10"/>
  <c r="T695" i="10"/>
  <c r="P695" i="10"/>
  <c r="O695" i="10"/>
  <c r="O694" i="10"/>
  <c r="N694" i="10"/>
  <c r="M694" i="10"/>
  <c r="P694" i="10" s="1"/>
  <c r="L694" i="10"/>
  <c r="N693" i="10"/>
  <c r="M693" i="10"/>
  <c r="P693" i="10" s="1"/>
  <c r="L693" i="10"/>
  <c r="L691" i="10" s="1"/>
  <c r="U692" i="10"/>
  <c r="S692" i="10"/>
  <c r="R692" i="10"/>
  <c r="Q692" i="10"/>
  <c r="T692" i="10" s="1"/>
  <c r="O692" i="10"/>
  <c r="N692" i="10"/>
  <c r="M692" i="10"/>
  <c r="L692" i="10"/>
  <c r="O691" i="10"/>
  <c r="N691" i="10"/>
  <c r="J683" i="10"/>
  <c r="I683" i="10"/>
  <c r="K683" i="10" s="1"/>
  <c r="J682" i="10"/>
  <c r="I682" i="10"/>
  <c r="K682" i="10" s="1"/>
  <c r="J681" i="10"/>
  <c r="J680" i="10"/>
  <c r="I680" i="10"/>
  <c r="K680" i="10" s="1"/>
  <c r="J679" i="10"/>
  <c r="I679" i="10"/>
  <c r="K679" i="10" s="1"/>
  <c r="J678" i="10"/>
  <c r="J677" i="10"/>
  <c r="I677" i="10"/>
  <c r="K677" i="10" s="1"/>
  <c r="I676" i="10"/>
  <c r="K676" i="10" s="1"/>
  <c r="I675" i="10"/>
  <c r="K675" i="10" s="1"/>
  <c r="J674" i="10"/>
  <c r="I674" i="10"/>
  <c r="K674" i="10" s="1"/>
  <c r="J673" i="10"/>
  <c r="J672" i="10"/>
  <c r="J662" i="10"/>
  <c r="I662" i="10"/>
  <c r="K662" i="10" s="1"/>
  <c r="I661" i="10"/>
  <c r="I658" i="10"/>
  <c r="J655" i="10"/>
  <c r="I655" i="10"/>
  <c r="K655" i="10" s="1"/>
  <c r="J654" i="10"/>
  <c r="I654" i="10"/>
  <c r="K654" i="10" s="1"/>
  <c r="J653" i="10"/>
  <c r="I653" i="10"/>
  <c r="K653" i="10" s="1"/>
  <c r="U651" i="10"/>
  <c r="T651" i="10"/>
  <c r="P651" i="10"/>
  <c r="O651" i="10"/>
  <c r="U650" i="10"/>
  <c r="T650" i="10"/>
  <c r="P650" i="10"/>
  <c r="O650" i="10"/>
  <c r="S649" i="10"/>
  <c r="R649" i="10"/>
  <c r="U649" i="10" s="1"/>
  <c r="Q649" i="10"/>
  <c r="T649" i="10" s="1"/>
  <c r="P649" i="10"/>
  <c r="N649" i="10"/>
  <c r="M649" i="10"/>
  <c r="L649" i="10"/>
  <c r="O649" i="10" s="1"/>
  <c r="S648" i="10"/>
  <c r="S645" i="10" s="1"/>
  <c r="R648" i="10"/>
  <c r="R646" i="10" s="1"/>
  <c r="U646" i="10" s="1"/>
  <c r="Q648" i="10"/>
  <c r="Q646" i="10" s="1"/>
  <c r="T646" i="10" s="1"/>
  <c r="P648" i="10"/>
  <c r="O648" i="10"/>
  <c r="U647" i="10"/>
  <c r="T647" i="10"/>
  <c r="P647" i="10"/>
  <c r="O647" i="10"/>
  <c r="O646" i="10"/>
  <c r="N646" i="10"/>
  <c r="M646" i="10"/>
  <c r="P646" i="10" s="1"/>
  <c r="L646" i="10"/>
  <c r="N645" i="10"/>
  <c r="M645" i="10"/>
  <c r="P645" i="10" s="1"/>
  <c r="L645" i="10"/>
  <c r="U644" i="10"/>
  <c r="S644" i="10"/>
  <c r="R644" i="10"/>
  <c r="Q644" i="10"/>
  <c r="T644" i="10" s="1"/>
  <c r="P644" i="10"/>
  <c r="O644" i="10"/>
  <c r="N644" i="10"/>
  <c r="M644" i="10"/>
  <c r="L644" i="10"/>
  <c r="N643" i="10"/>
  <c r="J637" i="10"/>
  <c r="J636" i="10"/>
  <c r="I636" i="10"/>
  <c r="K636" i="10" s="1"/>
  <c r="J633" i="10"/>
  <c r="I629" i="10"/>
  <c r="K629" i="10" s="1"/>
  <c r="I628" i="10"/>
  <c r="K628" i="10" s="1"/>
  <c r="J627" i="10"/>
  <c r="I627" i="10"/>
  <c r="U625" i="10"/>
  <c r="T625" i="10"/>
  <c r="P625" i="10"/>
  <c r="O625" i="10"/>
  <c r="U624" i="10"/>
  <c r="T624" i="10"/>
  <c r="P624" i="10"/>
  <c r="O624" i="10"/>
  <c r="U623" i="10"/>
  <c r="S623" i="10"/>
  <c r="R623" i="10"/>
  <c r="Q623" i="10"/>
  <c r="T623" i="10" s="1"/>
  <c r="N623" i="10"/>
  <c r="M623" i="10"/>
  <c r="P623" i="10" s="1"/>
  <c r="L623" i="10"/>
  <c r="O623" i="10" s="1"/>
  <c r="S622" i="10"/>
  <c r="R622" i="10"/>
  <c r="R620" i="10" s="1"/>
  <c r="Q622" i="10"/>
  <c r="P622" i="10"/>
  <c r="O622" i="10"/>
  <c r="U621" i="10"/>
  <c r="T621" i="10"/>
  <c r="P621" i="10"/>
  <c r="O621" i="10"/>
  <c r="P620" i="10"/>
  <c r="O620" i="10"/>
  <c r="N620" i="10"/>
  <c r="M620" i="10"/>
  <c r="L620" i="10"/>
  <c r="P619" i="10"/>
  <c r="N619" i="10"/>
  <c r="M619" i="10"/>
  <c r="M617" i="10" s="1"/>
  <c r="L619" i="10"/>
  <c r="O619" i="10" s="1"/>
  <c r="T618" i="10"/>
  <c r="S618" i="10"/>
  <c r="R618" i="10"/>
  <c r="Q618" i="10"/>
  <c r="P618" i="10"/>
  <c r="N618" i="10"/>
  <c r="N617" i="10" s="1"/>
  <c r="M618" i="10"/>
  <c r="L618" i="10"/>
  <c r="P617" i="10"/>
  <c r="J616" i="10"/>
  <c r="U608" i="10"/>
  <c r="T608" i="10"/>
  <c r="P608" i="10"/>
  <c r="O608" i="10"/>
  <c r="U607" i="10"/>
  <c r="T607" i="10"/>
  <c r="P607" i="10"/>
  <c r="O607" i="10"/>
  <c r="U606" i="10"/>
  <c r="S606" i="10"/>
  <c r="R606" i="10"/>
  <c r="Q606" i="10"/>
  <c r="T606" i="10" s="1"/>
  <c r="N606" i="10"/>
  <c r="M606" i="10"/>
  <c r="P606" i="10" s="1"/>
  <c r="L606" i="10"/>
  <c r="O606" i="10" s="1"/>
  <c r="U605" i="10"/>
  <c r="T605" i="10"/>
  <c r="P605" i="10"/>
  <c r="O605" i="10"/>
  <c r="U604" i="10"/>
  <c r="T604" i="10"/>
  <c r="P604" i="10"/>
  <c r="O604" i="10"/>
  <c r="S603" i="10"/>
  <c r="R603" i="10"/>
  <c r="U603" i="10" s="1"/>
  <c r="Q603" i="10"/>
  <c r="T603" i="10" s="1"/>
  <c r="O603" i="10"/>
  <c r="N603" i="10"/>
  <c r="M603" i="10"/>
  <c r="P603" i="10" s="1"/>
  <c r="L603" i="10"/>
  <c r="U602" i="10"/>
  <c r="S602" i="10"/>
  <c r="R602" i="10"/>
  <c r="Q602" i="10"/>
  <c r="T602" i="10" s="1"/>
  <c r="O602" i="10"/>
  <c r="N602" i="10"/>
  <c r="M602" i="10"/>
  <c r="P602" i="10" s="1"/>
  <c r="L602" i="10"/>
  <c r="U601" i="10"/>
  <c r="S601" i="10"/>
  <c r="R601" i="10"/>
  <c r="Q601" i="10"/>
  <c r="T601" i="10" s="1"/>
  <c r="O601" i="10"/>
  <c r="N601" i="10"/>
  <c r="N600" i="10" s="1"/>
  <c r="M601" i="10"/>
  <c r="P601" i="10" s="1"/>
  <c r="L601" i="10"/>
  <c r="S600" i="10"/>
  <c r="R600" i="10"/>
  <c r="U600" i="10" s="1"/>
  <c r="O600" i="10"/>
  <c r="L600" i="10"/>
  <c r="U585" i="10"/>
  <c r="T585" i="10"/>
  <c r="P585" i="10"/>
  <c r="O585" i="10"/>
  <c r="U584" i="10"/>
  <c r="T584" i="10"/>
  <c r="P584" i="10"/>
  <c r="O584" i="10"/>
  <c r="U583" i="10"/>
  <c r="S583" i="10"/>
  <c r="R583" i="10"/>
  <c r="Q583" i="10"/>
  <c r="T583" i="10" s="1"/>
  <c r="N583" i="10"/>
  <c r="M583" i="10"/>
  <c r="P583" i="10" s="1"/>
  <c r="L583" i="10"/>
  <c r="O583" i="10" s="1"/>
  <c r="U582" i="10"/>
  <c r="T582" i="10"/>
  <c r="P582" i="10"/>
  <c r="O582" i="10"/>
  <c r="U581" i="10"/>
  <c r="T581" i="10"/>
  <c r="P581" i="10"/>
  <c r="O581" i="10"/>
  <c r="S580" i="10"/>
  <c r="R580" i="10"/>
  <c r="U580" i="10" s="1"/>
  <c r="Q580" i="10"/>
  <c r="T580" i="10" s="1"/>
  <c r="N580" i="10"/>
  <c r="M580" i="10"/>
  <c r="P580" i="10" s="1"/>
  <c r="L580" i="10"/>
  <c r="O580" i="10" s="1"/>
  <c r="U579" i="10"/>
  <c r="S579" i="10"/>
  <c r="R579" i="10"/>
  <c r="Q579" i="10"/>
  <c r="T579" i="10" s="1"/>
  <c r="P579" i="10"/>
  <c r="O579" i="10"/>
  <c r="N579" i="10"/>
  <c r="M579" i="10"/>
  <c r="L579" i="10"/>
  <c r="U578" i="10"/>
  <c r="T578" i="10"/>
  <c r="S578" i="10"/>
  <c r="R578" i="10"/>
  <c r="Q578" i="10"/>
  <c r="Q577" i="10" s="1"/>
  <c r="T577" i="10" s="1"/>
  <c r="O578" i="10"/>
  <c r="N578" i="10"/>
  <c r="N577" i="10" s="1"/>
  <c r="M578" i="10"/>
  <c r="P578" i="10" s="1"/>
  <c r="L578" i="10"/>
  <c r="U577" i="10"/>
  <c r="S577" i="10"/>
  <c r="R577" i="10"/>
  <c r="O577" i="10"/>
  <c r="M577" i="10"/>
  <c r="P577" i="10" s="1"/>
  <c r="L577" i="10"/>
  <c r="J576" i="10"/>
  <c r="I576" i="10"/>
  <c r="K576" i="10" s="1"/>
  <c r="U564" i="10"/>
  <c r="T564" i="10"/>
  <c r="P564" i="10"/>
  <c r="O564" i="10"/>
  <c r="U563" i="10"/>
  <c r="T563" i="10"/>
  <c r="P563" i="10"/>
  <c r="O563" i="10"/>
  <c r="U562" i="10"/>
  <c r="T562" i="10"/>
  <c r="S562" i="10"/>
  <c r="R562" i="10"/>
  <c r="Q562" i="10"/>
  <c r="P562" i="10"/>
  <c r="O562" i="10"/>
  <c r="N562" i="10"/>
  <c r="M562" i="10"/>
  <c r="L562" i="10"/>
  <c r="U561" i="10"/>
  <c r="T561" i="10"/>
  <c r="P561" i="10"/>
  <c r="O561" i="10"/>
  <c r="U560" i="10"/>
  <c r="T560" i="10"/>
  <c r="P560" i="10"/>
  <c r="O560" i="10"/>
  <c r="U559" i="10"/>
  <c r="T559" i="10"/>
  <c r="S559" i="10"/>
  <c r="R559" i="10"/>
  <c r="Q559" i="10"/>
  <c r="P559" i="10"/>
  <c r="O559" i="10"/>
  <c r="N559" i="10"/>
  <c r="M559" i="10"/>
  <c r="L559" i="10"/>
  <c r="T558" i="10"/>
  <c r="S558" i="10"/>
  <c r="S556" i="10" s="1"/>
  <c r="R558" i="10"/>
  <c r="U558" i="10" s="1"/>
  <c r="Q558" i="10"/>
  <c r="P558" i="10"/>
  <c r="N558" i="10"/>
  <c r="M558" i="10"/>
  <c r="M556" i="10" s="1"/>
  <c r="L558" i="10"/>
  <c r="O558" i="10" s="1"/>
  <c r="T557" i="10"/>
  <c r="S557" i="10"/>
  <c r="R557" i="10"/>
  <c r="Q557" i="10"/>
  <c r="Q556" i="10" s="1"/>
  <c r="T556" i="10" s="1"/>
  <c r="P557" i="10"/>
  <c r="N557" i="10"/>
  <c r="M557" i="10"/>
  <c r="L557" i="10"/>
  <c r="O557" i="10" s="1"/>
  <c r="P556" i="10"/>
  <c r="L556" i="10"/>
  <c r="O556" i="10" s="1"/>
  <c r="J555" i="10"/>
  <c r="I555" i="10"/>
  <c r="K555" i="10" s="1"/>
  <c r="U543" i="10"/>
  <c r="T543" i="10"/>
  <c r="P543" i="10"/>
  <c r="O543" i="10"/>
  <c r="U542" i="10"/>
  <c r="T542" i="10"/>
  <c r="P542" i="10"/>
  <c r="O542" i="10"/>
  <c r="U541" i="10"/>
  <c r="S541" i="10"/>
  <c r="R541" i="10"/>
  <c r="Q541" i="10"/>
  <c r="T541" i="10" s="1"/>
  <c r="O541" i="10"/>
  <c r="N541" i="10"/>
  <c r="M541" i="10"/>
  <c r="P541" i="10" s="1"/>
  <c r="L541" i="10"/>
  <c r="U540" i="10"/>
  <c r="T540" i="10"/>
  <c r="P540" i="10"/>
  <c r="O540" i="10"/>
  <c r="U539" i="10"/>
  <c r="T539" i="10"/>
  <c r="P539" i="10"/>
  <c r="O539" i="10"/>
  <c r="U538" i="10"/>
  <c r="S538" i="10"/>
  <c r="R538" i="10"/>
  <c r="Q538" i="10"/>
  <c r="T538" i="10" s="1"/>
  <c r="O538" i="10"/>
  <c r="N538" i="10"/>
  <c r="M538" i="10"/>
  <c r="P538" i="10" s="1"/>
  <c r="L538" i="10"/>
  <c r="U537" i="10"/>
  <c r="S537" i="10"/>
  <c r="R537" i="10"/>
  <c r="Q537" i="10"/>
  <c r="T537" i="10" s="1"/>
  <c r="P537" i="10"/>
  <c r="O537" i="10"/>
  <c r="N537" i="10"/>
  <c r="M537" i="10"/>
  <c r="L537" i="10"/>
  <c r="U536" i="10"/>
  <c r="T536" i="10"/>
  <c r="S536" i="10"/>
  <c r="R536" i="10"/>
  <c r="Q536" i="10"/>
  <c r="Q535" i="10" s="1"/>
  <c r="T535" i="10" s="1"/>
  <c r="O536" i="10"/>
  <c r="N536" i="10"/>
  <c r="N535" i="10" s="1"/>
  <c r="M536" i="10"/>
  <c r="P536" i="10" s="1"/>
  <c r="L536" i="10"/>
  <c r="U535" i="10"/>
  <c r="S535" i="10"/>
  <c r="R535" i="10"/>
  <c r="O535" i="10"/>
  <c r="M535" i="10"/>
  <c r="P535" i="10" s="1"/>
  <c r="L535" i="10"/>
  <c r="J534" i="10"/>
  <c r="I534" i="10"/>
  <c r="K534" i="10" s="1"/>
  <c r="K525" i="10"/>
  <c r="K524" i="10"/>
  <c r="U522" i="10"/>
  <c r="T522" i="10"/>
  <c r="N522" i="10"/>
  <c r="N520" i="10" s="1"/>
  <c r="M522" i="10"/>
  <c r="L522" i="10"/>
  <c r="U521" i="10"/>
  <c r="T521" i="10"/>
  <c r="P521" i="10"/>
  <c r="O521" i="10"/>
  <c r="U520" i="10"/>
  <c r="T520" i="10"/>
  <c r="S520" i="10"/>
  <c r="R520" i="10"/>
  <c r="Q520" i="10"/>
  <c r="U519" i="10"/>
  <c r="T519" i="10"/>
  <c r="N519" i="10"/>
  <c r="N517" i="10" s="1"/>
  <c r="M519" i="10"/>
  <c r="P519" i="10" s="1"/>
  <c r="L519" i="10"/>
  <c r="L517" i="10" s="1"/>
  <c r="O517" i="10" s="1"/>
  <c r="U518" i="10"/>
  <c r="T518" i="10"/>
  <c r="P518" i="10"/>
  <c r="O518" i="10"/>
  <c r="T517" i="10"/>
  <c r="S517" i="10"/>
  <c r="R517" i="10"/>
  <c r="U517" i="10" s="1"/>
  <c r="Q517" i="10"/>
  <c r="U516" i="10"/>
  <c r="T516" i="10"/>
  <c r="S516" i="10"/>
  <c r="R516" i="10"/>
  <c r="Q516" i="10"/>
  <c r="T515" i="10"/>
  <c r="S515" i="10"/>
  <c r="S514" i="10" s="1"/>
  <c r="R515" i="10"/>
  <c r="U515" i="10" s="1"/>
  <c r="Q515" i="10"/>
  <c r="N515" i="10"/>
  <c r="M515" i="10"/>
  <c r="L515" i="10"/>
  <c r="O515" i="10" s="1"/>
  <c r="T514" i="10"/>
  <c r="R514" i="10"/>
  <c r="U514" i="10" s="1"/>
  <c r="Q514" i="10"/>
  <c r="K513" i="10"/>
  <c r="J513" i="10"/>
  <c r="I513" i="10"/>
  <c r="I510" i="10"/>
  <c r="K510" i="10" s="1"/>
  <c r="K509" i="10"/>
  <c r="I508" i="10"/>
  <c r="K508" i="10" s="1"/>
  <c r="I507" i="10"/>
  <c r="I506" i="10"/>
  <c r="K506" i="10" s="1"/>
  <c r="I505" i="10"/>
  <c r="K505" i="10" s="1"/>
  <c r="I504" i="10"/>
  <c r="U502" i="10"/>
  <c r="T502" i="10"/>
  <c r="P502" i="10"/>
  <c r="O502" i="10"/>
  <c r="U501" i="10"/>
  <c r="T501" i="10"/>
  <c r="P501" i="10"/>
  <c r="O501" i="10"/>
  <c r="U500" i="10"/>
  <c r="S500" i="10"/>
  <c r="R500" i="10"/>
  <c r="Q500" i="10"/>
  <c r="T500" i="10" s="1"/>
  <c r="O500" i="10"/>
  <c r="N500" i="10"/>
  <c r="M500" i="10"/>
  <c r="P500" i="10" s="1"/>
  <c r="L500" i="10"/>
  <c r="S499" i="10"/>
  <c r="R499" i="10"/>
  <c r="R497" i="10" s="1"/>
  <c r="U497" i="10" s="1"/>
  <c r="Q499" i="10"/>
  <c r="P499" i="10"/>
  <c r="O499" i="10"/>
  <c r="U498" i="10"/>
  <c r="T498" i="10"/>
  <c r="P498" i="10"/>
  <c r="O498" i="10"/>
  <c r="N497" i="10"/>
  <c r="M497" i="10"/>
  <c r="P497" i="10" s="1"/>
  <c r="L497" i="10"/>
  <c r="O497" i="10" s="1"/>
  <c r="P496" i="10"/>
  <c r="N496" i="10"/>
  <c r="N494" i="10" s="1"/>
  <c r="M496" i="10"/>
  <c r="L496" i="10"/>
  <c r="O496" i="10" s="1"/>
  <c r="U495" i="10"/>
  <c r="T495" i="10"/>
  <c r="S495" i="10"/>
  <c r="R495" i="10"/>
  <c r="Q495" i="10"/>
  <c r="P495" i="10"/>
  <c r="O495" i="10"/>
  <c r="N495" i="10"/>
  <c r="M495" i="10"/>
  <c r="L495" i="10"/>
  <c r="P494" i="10"/>
  <c r="M494" i="10"/>
  <c r="K486" i="10"/>
  <c r="J486" i="10"/>
  <c r="I486" i="10"/>
  <c r="K485" i="10"/>
  <c r="J485" i="10"/>
  <c r="I485" i="10"/>
  <c r="J484" i="10"/>
  <c r="J483" i="10"/>
  <c r="K478" i="10"/>
  <c r="J478" i="10"/>
  <c r="K477" i="10"/>
  <c r="J477" i="10"/>
  <c r="K476" i="10"/>
  <c r="J476" i="10"/>
  <c r="J469" i="10"/>
  <c r="J468" i="10"/>
  <c r="J461" i="10"/>
  <c r="J459" i="10" s="1"/>
  <c r="J460" i="10"/>
  <c r="I459" i="10"/>
  <c r="K459" i="10" s="1"/>
  <c r="J458" i="10"/>
  <c r="J457" i="10" s="1"/>
  <c r="I458" i="10"/>
  <c r="J448" i="10"/>
  <c r="J447" i="10"/>
  <c r="J441" i="10" s="1"/>
  <c r="J424" i="10" s="1"/>
  <c r="J413" i="10" s="1"/>
  <c r="J442" i="10"/>
  <c r="I442" i="10"/>
  <c r="K442" i="10" s="1"/>
  <c r="I441" i="10"/>
  <c r="K441" i="10" s="1"/>
  <c r="J434" i="10"/>
  <c r="I434" i="10"/>
  <c r="K434" i="10" s="1"/>
  <c r="J433" i="10"/>
  <c r="I433" i="10"/>
  <c r="K433" i="10" s="1"/>
  <c r="J426" i="10"/>
  <c r="I426" i="10"/>
  <c r="K426" i="10" s="1"/>
  <c r="J425" i="10"/>
  <c r="I425" i="10"/>
  <c r="K425" i="10" s="1"/>
  <c r="U422" i="10"/>
  <c r="T422" i="10"/>
  <c r="P422" i="10"/>
  <c r="O422" i="10"/>
  <c r="U421" i="10"/>
  <c r="T421" i="10"/>
  <c r="P421" i="10"/>
  <c r="O421" i="10"/>
  <c r="S420" i="10"/>
  <c r="R420" i="10"/>
  <c r="U420" i="10" s="1"/>
  <c r="Q420" i="10"/>
  <c r="T420" i="10" s="1"/>
  <c r="N420" i="10"/>
  <c r="M420" i="10"/>
  <c r="P420" i="10" s="1"/>
  <c r="L420" i="10"/>
  <c r="O420" i="10" s="1"/>
  <c r="S419" i="10"/>
  <c r="R419" i="10"/>
  <c r="U419" i="10" s="1"/>
  <c r="Q419" i="10"/>
  <c r="P419" i="10"/>
  <c r="O419" i="10"/>
  <c r="U418" i="10"/>
  <c r="T418" i="10"/>
  <c r="P418" i="10"/>
  <c r="O418" i="10"/>
  <c r="P417" i="10"/>
  <c r="N417" i="10"/>
  <c r="M417" i="10"/>
  <c r="L417" i="10"/>
  <c r="O417" i="10" s="1"/>
  <c r="P416" i="10"/>
  <c r="N416" i="10"/>
  <c r="M416" i="10"/>
  <c r="M414" i="10" s="1"/>
  <c r="P414" i="10" s="1"/>
  <c r="L416" i="10"/>
  <c r="O416" i="10" s="1"/>
  <c r="S415" i="10"/>
  <c r="R415" i="10"/>
  <c r="U415" i="10" s="1"/>
  <c r="Q415" i="10"/>
  <c r="T415" i="10" s="1"/>
  <c r="P415" i="10"/>
  <c r="N415" i="10"/>
  <c r="M415" i="10"/>
  <c r="L415" i="10"/>
  <c r="N414" i="10"/>
  <c r="U401" i="10"/>
  <c r="T401" i="10"/>
  <c r="P401" i="10"/>
  <c r="O401" i="10"/>
  <c r="U400" i="10"/>
  <c r="T400" i="10"/>
  <c r="P400" i="10"/>
  <c r="O400" i="10"/>
  <c r="U399" i="10"/>
  <c r="T399" i="10"/>
  <c r="S399" i="10"/>
  <c r="R399" i="10"/>
  <c r="Q399" i="10"/>
  <c r="O399" i="10"/>
  <c r="N399" i="10"/>
  <c r="M399" i="10"/>
  <c r="P399" i="10" s="1"/>
  <c r="L399" i="10"/>
  <c r="U398" i="10"/>
  <c r="T398" i="10"/>
  <c r="P398" i="10"/>
  <c r="O398" i="10"/>
  <c r="U397" i="10"/>
  <c r="T397" i="10"/>
  <c r="P397" i="10"/>
  <c r="O397" i="10"/>
  <c r="U396" i="10"/>
  <c r="T396" i="10"/>
  <c r="S396" i="10"/>
  <c r="R396" i="10"/>
  <c r="Q396" i="10"/>
  <c r="O396" i="10"/>
  <c r="N396" i="10"/>
  <c r="M396" i="10"/>
  <c r="P396" i="10" s="1"/>
  <c r="L396" i="10"/>
  <c r="S395" i="10"/>
  <c r="R395" i="10"/>
  <c r="U395" i="10" s="1"/>
  <c r="Q395" i="10"/>
  <c r="T395" i="10" s="1"/>
  <c r="P395" i="10"/>
  <c r="N395" i="10"/>
  <c r="M395" i="10"/>
  <c r="M393" i="10" s="1"/>
  <c r="L395" i="10"/>
  <c r="O395" i="10" s="1"/>
  <c r="U394" i="10"/>
  <c r="T394" i="10"/>
  <c r="S394" i="10"/>
  <c r="R394" i="10"/>
  <c r="Q394" i="10"/>
  <c r="P394" i="10"/>
  <c r="O394" i="10"/>
  <c r="N394" i="10"/>
  <c r="N393" i="10" s="1"/>
  <c r="M394" i="10"/>
  <c r="L394" i="10"/>
  <c r="S393" i="10"/>
  <c r="R393" i="10"/>
  <c r="U393" i="10" s="1"/>
  <c r="P393" i="10"/>
  <c r="O393" i="10"/>
  <c r="L393" i="10"/>
  <c r="J392" i="10"/>
  <c r="I392" i="10"/>
  <c r="K392" i="10" s="1"/>
  <c r="J389" i="10"/>
  <c r="I389" i="10"/>
  <c r="K389" i="10" s="1"/>
  <c r="K388" i="10"/>
  <c r="J388" i="10"/>
  <c r="J387" i="10"/>
  <c r="I387" i="10"/>
  <c r="K386" i="10"/>
  <c r="J386" i="10"/>
  <c r="U384" i="10"/>
  <c r="T384" i="10"/>
  <c r="P384" i="10"/>
  <c r="O384" i="10"/>
  <c r="U383" i="10"/>
  <c r="T383" i="10"/>
  <c r="P383" i="10"/>
  <c r="O383" i="10"/>
  <c r="U382" i="10"/>
  <c r="S382" i="10"/>
  <c r="R382" i="10"/>
  <c r="Q382" i="10"/>
  <c r="T382" i="10" s="1"/>
  <c r="O382" i="10"/>
  <c r="N382" i="10"/>
  <c r="M382" i="10"/>
  <c r="P382" i="10" s="1"/>
  <c r="L382" i="10"/>
  <c r="S381" i="10"/>
  <c r="S378" i="10" s="1"/>
  <c r="S376" i="10" s="1"/>
  <c r="R381" i="10"/>
  <c r="R379" i="10" s="1"/>
  <c r="U379" i="10" s="1"/>
  <c r="Q381" i="10"/>
  <c r="Q378" i="10" s="1"/>
  <c r="P381" i="10"/>
  <c r="O381" i="10"/>
  <c r="U380" i="10"/>
  <c r="T380" i="10"/>
  <c r="P380" i="10"/>
  <c r="O380" i="10"/>
  <c r="N379" i="10"/>
  <c r="M379" i="10"/>
  <c r="P379" i="10" s="1"/>
  <c r="L379" i="10"/>
  <c r="O379" i="10" s="1"/>
  <c r="P378" i="10"/>
  <c r="N378" i="10"/>
  <c r="N376" i="10" s="1"/>
  <c r="M378" i="10"/>
  <c r="L378" i="10"/>
  <c r="O378" i="10" s="1"/>
  <c r="T377" i="10"/>
  <c r="S377" i="10"/>
  <c r="R377" i="10"/>
  <c r="Q377" i="10"/>
  <c r="P377" i="10"/>
  <c r="N377" i="10"/>
  <c r="M377" i="10"/>
  <c r="L377" i="10"/>
  <c r="M376" i="10"/>
  <c r="P376" i="10" s="1"/>
  <c r="D374" i="10"/>
  <c r="K373" i="10"/>
  <c r="J373" i="10"/>
  <c r="J372" i="10"/>
  <c r="J366" i="10" s="1"/>
  <c r="I372" i="10"/>
  <c r="I366" i="10" s="1"/>
  <c r="K371" i="10"/>
  <c r="J371" i="10"/>
  <c r="J370" i="10"/>
  <c r="I370" i="10"/>
  <c r="J369" i="10"/>
  <c r="I369" i="10"/>
  <c r="K368" i="10"/>
  <c r="J368" i="10"/>
  <c r="U365" i="10"/>
  <c r="T365" i="10"/>
  <c r="N365" i="10"/>
  <c r="N363" i="10" s="1"/>
  <c r="M365" i="10"/>
  <c r="M363" i="10" s="1"/>
  <c r="P363" i="10" s="1"/>
  <c r="L365" i="10"/>
  <c r="O365" i="10" s="1"/>
  <c r="U364" i="10"/>
  <c r="T364" i="10"/>
  <c r="P364" i="10"/>
  <c r="O364" i="10"/>
  <c r="S363" i="10"/>
  <c r="R363" i="10"/>
  <c r="U363" i="10" s="1"/>
  <c r="Q363" i="10"/>
  <c r="T363" i="10" s="1"/>
  <c r="U362" i="10"/>
  <c r="T362" i="10"/>
  <c r="N362" i="10"/>
  <c r="N360" i="10" s="1"/>
  <c r="M362" i="10"/>
  <c r="M360" i="10" s="1"/>
  <c r="L362" i="10"/>
  <c r="U361" i="10"/>
  <c r="T361" i="10"/>
  <c r="P361" i="10"/>
  <c r="O361" i="10"/>
  <c r="T360" i="10"/>
  <c r="S360" i="10"/>
  <c r="R360" i="10"/>
  <c r="U360" i="10" s="1"/>
  <c r="Q360" i="10"/>
  <c r="T359" i="10"/>
  <c r="S359" i="10"/>
  <c r="R359" i="10"/>
  <c r="R357" i="10" s="1"/>
  <c r="Q359" i="10"/>
  <c r="S358" i="10"/>
  <c r="S357" i="10" s="1"/>
  <c r="R358" i="10"/>
  <c r="U358" i="10" s="1"/>
  <c r="Q358" i="10"/>
  <c r="T358" i="10" s="1"/>
  <c r="N358" i="10"/>
  <c r="M358" i="10"/>
  <c r="L358" i="10"/>
  <c r="O358" i="10" s="1"/>
  <c r="U357" i="10"/>
  <c r="T357" i="10"/>
  <c r="Q357" i="10"/>
  <c r="D355" i="10"/>
  <c r="J354" i="10"/>
  <c r="J353" i="10"/>
  <c r="D351" i="10"/>
  <c r="J350" i="10"/>
  <c r="J349" i="10"/>
  <c r="J348" i="10"/>
  <c r="J347" i="10"/>
  <c r="I347" i="10"/>
  <c r="J345" i="10"/>
  <c r="I345" i="10"/>
  <c r="I333" i="10" s="1"/>
  <c r="U342" i="10"/>
  <c r="T342" i="10"/>
  <c r="N342" i="10"/>
  <c r="N340" i="10" s="1"/>
  <c r="M342" i="10"/>
  <c r="M340" i="10" s="1"/>
  <c r="P340" i="10" s="1"/>
  <c r="L342" i="10"/>
  <c r="U341" i="10"/>
  <c r="T341" i="10"/>
  <c r="P341" i="10"/>
  <c r="O341" i="10"/>
  <c r="S340" i="10"/>
  <c r="R340" i="10"/>
  <c r="U340" i="10" s="1"/>
  <c r="Q340" i="10"/>
  <c r="T340" i="10" s="1"/>
  <c r="U339" i="10"/>
  <c r="T339" i="10"/>
  <c r="N339" i="10"/>
  <c r="N337" i="10" s="1"/>
  <c r="M339" i="10"/>
  <c r="M337" i="10" s="1"/>
  <c r="L339" i="10"/>
  <c r="U338" i="10"/>
  <c r="T338" i="10"/>
  <c r="P338" i="10"/>
  <c r="O338" i="10"/>
  <c r="T337" i="10"/>
  <c r="S337" i="10"/>
  <c r="R337" i="10"/>
  <c r="U337" i="10" s="1"/>
  <c r="Q337" i="10"/>
  <c r="U336" i="10"/>
  <c r="S336" i="10"/>
  <c r="R336" i="10"/>
  <c r="Q336" i="10"/>
  <c r="T336" i="10" s="1"/>
  <c r="U335" i="10"/>
  <c r="T335" i="10"/>
  <c r="S335" i="10"/>
  <c r="R335" i="10"/>
  <c r="Q335" i="10"/>
  <c r="P335" i="10"/>
  <c r="O335" i="10"/>
  <c r="N335" i="10"/>
  <c r="M335" i="10"/>
  <c r="L335" i="10"/>
  <c r="U334" i="10"/>
  <c r="R334" i="10"/>
  <c r="Q334" i="10"/>
  <c r="T334" i="10" s="1"/>
  <c r="I331" i="10"/>
  <c r="I320" i="10" s="1"/>
  <c r="K320" i="10" s="1"/>
  <c r="U329" i="10"/>
  <c r="T329" i="10"/>
  <c r="N329" i="10"/>
  <c r="N327" i="10" s="1"/>
  <c r="M329" i="10"/>
  <c r="P329" i="10" s="1"/>
  <c r="L329" i="10"/>
  <c r="U328" i="10"/>
  <c r="T328" i="10"/>
  <c r="P328" i="10"/>
  <c r="O328" i="10"/>
  <c r="U327" i="10"/>
  <c r="S327" i="10"/>
  <c r="R327" i="10"/>
  <c r="Q327" i="10"/>
  <c r="T327" i="10" s="1"/>
  <c r="U326" i="10"/>
  <c r="T326" i="10"/>
  <c r="N326" i="10"/>
  <c r="N324" i="10" s="1"/>
  <c r="M326" i="10"/>
  <c r="P326" i="10" s="1"/>
  <c r="L326" i="10"/>
  <c r="U325" i="10"/>
  <c r="T325" i="10"/>
  <c r="P325" i="10"/>
  <c r="O325" i="10"/>
  <c r="S324" i="10"/>
  <c r="R324" i="10"/>
  <c r="U324" i="10" s="1"/>
  <c r="Q324" i="10"/>
  <c r="T324" i="10" s="1"/>
  <c r="U323" i="10"/>
  <c r="S323" i="10"/>
  <c r="R323" i="10"/>
  <c r="Q323" i="10"/>
  <c r="U322" i="10"/>
  <c r="T322" i="10"/>
  <c r="S322" i="10"/>
  <c r="S321" i="10" s="1"/>
  <c r="R322" i="10"/>
  <c r="R321" i="10" s="1"/>
  <c r="U321" i="10" s="1"/>
  <c r="Q322" i="10"/>
  <c r="O322" i="10"/>
  <c r="N322" i="10"/>
  <c r="M322" i="10"/>
  <c r="L322" i="10"/>
  <c r="J320" i="10"/>
  <c r="I315" i="10"/>
  <c r="K315" i="10" s="1"/>
  <c r="U312" i="10"/>
  <c r="T312" i="10"/>
  <c r="N312" i="10"/>
  <c r="N310" i="10" s="1"/>
  <c r="M312" i="10"/>
  <c r="L312" i="10"/>
  <c r="U311" i="10"/>
  <c r="T311" i="10"/>
  <c r="P311" i="10"/>
  <c r="O311" i="10"/>
  <c r="U310" i="10"/>
  <c r="T310" i="10"/>
  <c r="S310" i="10"/>
  <c r="R310" i="10"/>
  <c r="Q310" i="10"/>
  <c r="S309" i="10"/>
  <c r="S307" i="10" s="1"/>
  <c r="R309" i="10"/>
  <c r="R306" i="10" s="1"/>
  <c r="R304" i="10" s="1"/>
  <c r="Q309" i="10"/>
  <c r="N309" i="10"/>
  <c r="M309" i="10"/>
  <c r="P309" i="10" s="1"/>
  <c r="L309" i="10"/>
  <c r="O309" i="10" s="1"/>
  <c r="U308" i="10"/>
  <c r="T308" i="10"/>
  <c r="P308" i="10"/>
  <c r="O308" i="10"/>
  <c r="U305" i="10"/>
  <c r="S305" i="10"/>
  <c r="R305" i="10"/>
  <c r="Q305" i="10"/>
  <c r="P305" i="10"/>
  <c r="O305" i="10"/>
  <c r="N305" i="10"/>
  <c r="M305" i="10"/>
  <c r="L305" i="10"/>
  <c r="J303" i="10"/>
  <c r="I297" i="10"/>
  <c r="K297" i="10" s="1"/>
  <c r="I296" i="10"/>
  <c r="K296" i="10" s="1"/>
  <c r="J294" i="10"/>
  <c r="I294" i="10"/>
  <c r="I281" i="10" s="1"/>
  <c r="I293" i="10"/>
  <c r="U291" i="10"/>
  <c r="T291" i="10"/>
  <c r="N291" i="10"/>
  <c r="N289" i="10" s="1"/>
  <c r="M291" i="10"/>
  <c r="M289" i="10" s="1"/>
  <c r="P289" i="10" s="1"/>
  <c r="L291" i="10"/>
  <c r="O291" i="10" s="1"/>
  <c r="U290" i="10"/>
  <c r="T290" i="10"/>
  <c r="P290" i="10"/>
  <c r="O290" i="10"/>
  <c r="S289" i="10"/>
  <c r="R289" i="10"/>
  <c r="U289" i="10" s="1"/>
  <c r="Q289" i="10"/>
  <c r="T289" i="10" s="1"/>
  <c r="U288" i="10"/>
  <c r="T288" i="10"/>
  <c r="N288" i="10"/>
  <c r="N286" i="10" s="1"/>
  <c r="M288" i="10"/>
  <c r="M286" i="10" s="1"/>
  <c r="L288" i="10"/>
  <c r="U287" i="10"/>
  <c r="T287" i="10"/>
  <c r="P287" i="10"/>
  <c r="O287" i="10"/>
  <c r="T286" i="10"/>
  <c r="S286" i="10"/>
  <c r="R286" i="10"/>
  <c r="U286" i="10" s="1"/>
  <c r="Q286" i="10"/>
  <c r="S285" i="10"/>
  <c r="S283" i="10" s="1"/>
  <c r="R285" i="10"/>
  <c r="U285" i="10" s="1"/>
  <c r="Q285" i="10"/>
  <c r="T285" i="10" s="1"/>
  <c r="T284" i="10"/>
  <c r="S284" i="10"/>
  <c r="R284" i="10"/>
  <c r="Q284" i="10"/>
  <c r="P284" i="10"/>
  <c r="N284" i="10"/>
  <c r="M284" i="10"/>
  <c r="L284" i="10"/>
  <c r="J282" i="10"/>
  <c r="J281" i="10"/>
  <c r="I277" i="10"/>
  <c r="K277" i="10" s="1"/>
  <c r="U275" i="10"/>
  <c r="T275" i="10"/>
  <c r="N275" i="10"/>
  <c r="N273" i="10" s="1"/>
  <c r="M275" i="10"/>
  <c r="P275" i="10" s="1"/>
  <c r="L275" i="10"/>
  <c r="O275" i="10" s="1"/>
  <c r="U274" i="10"/>
  <c r="T274" i="10"/>
  <c r="P274" i="10"/>
  <c r="O274" i="10"/>
  <c r="U273" i="10"/>
  <c r="S273" i="10"/>
  <c r="R273" i="10"/>
  <c r="Q273" i="10"/>
  <c r="T273" i="10" s="1"/>
  <c r="S272" i="10"/>
  <c r="S269" i="10" s="1"/>
  <c r="R272" i="10"/>
  <c r="R270" i="10" s="1"/>
  <c r="Q272" i="10"/>
  <c r="Q270" i="10" s="1"/>
  <c r="N272" i="10"/>
  <c r="N270" i="10" s="1"/>
  <c r="M272" i="10"/>
  <c r="L272" i="10"/>
  <c r="U271" i="10"/>
  <c r="T271" i="10"/>
  <c r="P271" i="10"/>
  <c r="O271" i="10"/>
  <c r="U268" i="10"/>
  <c r="S268" i="10"/>
  <c r="R268" i="10"/>
  <c r="Q268" i="10"/>
  <c r="O268" i="10"/>
  <c r="N268" i="10"/>
  <c r="M268" i="10"/>
  <c r="L268" i="10"/>
  <c r="J266" i="10"/>
  <c r="K264" i="10"/>
  <c r="K263" i="10"/>
  <c r="I261" i="10"/>
  <c r="I254" i="10" s="1"/>
  <c r="K254" i="10" s="1"/>
  <c r="L259" i="10"/>
  <c r="L258" i="10"/>
  <c r="L257" i="10"/>
  <c r="L256" i="10"/>
  <c r="P255" i="10"/>
  <c r="N255" i="10"/>
  <c r="J254" i="10"/>
  <c r="K253" i="10"/>
  <c r="K252" i="10"/>
  <c r="I250" i="10"/>
  <c r="L248" i="10"/>
  <c r="L247" i="10"/>
  <c r="L246" i="10"/>
  <c r="L245" i="10"/>
  <c r="P244" i="10"/>
  <c r="N244" i="10"/>
  <c r="J243" i="10"/>
  <c r="K242" i="10"/>
  <c r="J242" i="10"/>
  <c r="I242" i="10"/>
  <c r="J241" i="10"/>
  <c r="I241" i="10"/>
  <c r="K241" i="10" s="1"/>
  <c r="J239" i="10"/>
  <c r="N237" i="10"/>
  <c r="N236" i="10"/>
  <c r="N235" i="10"/>
  <c r="N234" i="10"/>
  <c r="N233" i="10"/>
  <c r="J232" i="10"/>
  <c r="I231" i="10"/>
  <c r="K231" i="10" s="1"/>
  <c r="I230" i="10"/>
  <c r="I222" i="10" s="1"/>
  <c r="I229" i="10"/>
  <c r="K229" i="10" s="1"/>
  <c r="L226" i="10"/>
  <c r="L225" i="10"/>
  <c r="L224" i="10"/>
  <c r="P223" i="10"/>
  <c r="N223" i="10"/>
  <c r="J222" i="10"/>
  <c r="I221" i="10"/>
  <c r="K221" i="10" s="1"/>
  <c r="I220" i="10"/>
  <c r="K220" i="10" s="1"/>
  <c r="L218" i="10"/>
  <c r="L217" i="10"/>
  <c r="L216" i="10"/>
  <c r="P215" i="10"/>
  <c r="N215" i="10"/>
  <c r="J214" i="10"/>
  <c r="I213" i="10"/>
  <c r="K213" i="10" s="1"/>
  <c r="I212" i="10"/>
  <c r="K212" i="10" s="1"/>
  <c r="I210" i="10"/>
  <c r="L208" i="10"/>
  <c r="L207" i="10"/>
  <c r="L206" i="10"/>
  <c r="L205" i="10"/>
  <c r="P204" i="10"/>
  <c r="N204" i="10"/>
  <c r="J203" i="10"/>
  <c r="J200" i="10"/>
  <c r="I199" i="10"/>
  <c r="P197" i="10"/>
  <c r="L197" i="10"/>
  <c r="O197" i="10" s="1"/>
  <c r="J196" i="10"/>
  <c r="U195" i="10"/>
  <c r="T195" i="10"/>
  <c r="N195" i="10"/>
  <c r="N193" i="10" s="1"/>
  <c r="M195" i="10"/>
  <c r="P195" i="10" s="1"/>
  <c r="L195" i="10"/>
  <c r="L193" i="10" s="1"/>
  <c r="O193" i="10" s="1"/>
  <c r="U194" i="10"/>
  <c r="T194" i="10"/>
  <c r="P194" i="10"/>
  <c r="O194" i="10"/>
  <c r="U193" i="10"/>
  <c r="S193" i="10"/>
  <c r="R193" i="10"/>
  <c r="Q193" i="10"/>
  <c r="T193" i="10" s="1"/>
  <c r="S192" i="10"/>
  <c r="S189" i="10" s="1"/>
  <c r="S187" i="10" s="1"/>
  <c r="R192" i="10"/>
  <c r="R189" i="10" s="1"/>
  <c r="Q192" i="10"/>
  <c r="Q190" i="10" s="1"/>
  <c r="N192" i="10"/>
  <c r="N190" i="10" s="1"/>
  <c r="M192" i="10"/>
  <c r="M190" i="10" s="1"/>
  <c r="L192" i="10"/>
  <c r="U191" i="10"/>
  <c r="T191" i="10"/>
  <c r="P191" i="10"/>
  <c r="O191" i="10"/>
  <c r="U188" i="10"/>
  <c r="S188" i="10"/>
  <c r="R188" i="10"/>
  <c r="Q188" i="10"/>
  <c r="T188" i="10" s="1"/>
  <c r="P188" i="10"/>
  <c r="O188" i="10"/>
  <c r="N188" i="10"/>
  <c r="M188" i="10"/>
  <c r="L188" i="10"/>
  <c r="J186" i="10"/>
  <c r="K185" i="10"/>
  <c r="I184" i="10"/>
  <c r="I173" i="10" s="1"/>
  <c r="U182" i="10"/>
  <c r="T182" i="10"/>
  <c r="N182" i="10"/>
  <c r="N180" i="10" s="1"/>
  <c r="M182" i="10"/>
  <c r="P182" i="10" s="1"/>
  <c r="L182" i="10"/>
  <c r="O182" i="10" s="1"/>
  <c r="U181" i="10"/>
  <c r="T181" i="10"/>
  <c r="P181" i="10"/>
  <c r="O181" i="10"/>
  <c r="S180" i="10"/>
  <c r="R180" i="10"/>
  <c r="U180" i="10" s="1"/>
  <c r="Q180" i="10"/>
  <c r="T180" i="10" s="1"/>
  <c r="S179" i="10"/>
  <c r="S177" i="10" s="1"/>
  <c r="R179" i="10"/>
  <c r="R177" i="10" s="1"/>
  <c r="U177" i="10" s="1"/>
  <c r="Q179" i="10"/>
  <c r="N179" i="10"/>
  <c r="M179" i="10"/>
  <c r="M177" i="10" s="1"/>
  <c r="L179" i="10"/>
  <c r="L177" i="10" s="1"/>
  <c r="U178" i="10"/>
  <c r="T178" i="10"/>
  <c r="P178" i="10"/>
  <c r="O178" i="10"/>
  <c r="T175" i="10"/>
  <c r="S175" i="10"/>
  <c r="R175" i="10"/>
  <c r="U175" i="10" s="1"/>
  <c r="Q175" i="10"/>
  <c r="P175" i="10"/>
  <c r="N175" i="10"/>
  <c r="M175" i="10"/>
  <c r="L175" i="10"/>
  <c r="O175" i="10" s="1"/>
  <c r="J173" i="10"/>
  <c r="I170" i="10"/>
  <c r="I157" i="10" s="1"/>
  <c r="K157" i="10" s="1"/>
  <c r="I169" i="10"/>
  <c r="K169" i="10" s="1"/>
  <c r="I168" i="10"/>
  <c r="K168" i="10" s="1"/>
  <c r="U166" i="10"/>
  <c r="T166" i="10"/>
  <c r="N166" i="10"/>
  <c r="N164" i="10" s="1"/>
  <c r="M166" i="10"/>
  <c r="P166" i="10" s="1"/>
  <c r="L166" i="10"/>
  <c r="O166" i="10" s="1"/>
  <c r="U165" i="10"/>
  <c r="T165" i="10"/>
  <c r="P165" i="10"/>
  <c r="O165" i="10"/>
  <c r="T164" i="10"/>
  <c r="S164" i="10"/>
  <c r="R164" i="10"/>
  <c r="U164" i="10" s="1"/>
  <c r="Q164" i="10"/>
  <c r="S163" i="10"/>
  <c r="R163" i="10"/>
  <c r="N163" i="10"/>
  <c r="N161" i="10" s="1"/>
  <c r="M163" i="10"/>
  <c r="M161" i="10" s="1"/>
  <c r="P161" i="10" s="1"/>
  <c r="L163" i="10"/>
  <c r="L161" i="10" s="1"/>
  <c r="O161" i="10" s="1"/>
  <c r="U162" i="10"/>
  <c r="T162" i="10"/>
  <c r="P162" i="10"/>
  <c r="O162" i="10"/>
  <c r="T159" i="10"/>
  <c r="S159" i="10"/>
  <c r="R159" i="10"/>
  <c r="Q159" i="10"/>
  <c r="N159" i="10"/>
  <c r="M159" i="10"/>
  <c r="L159" i="10"/>
  <c r="J157" i="10"/>
  <c r="I155" i="10"/>
  <c r="K155" i="10" s="1"/>
  <c r="I154" i="10"/>
  <c r="I139" i="10" s="1"/>
  <c r="K139" i="10" s="1"/>
  <c r="I153" i="10"/>
  <c r="I138" i="10" s="1"/>
  <c r="K138" i="10" s="1"/>
  <c r="I152" i="10"/>
  <c r="K152" i="10" s="1"/>
  <c r="I151" i="10"/>
  <c r="K151" i="10" s="1"/>
  <c r="U148" i="10"/>
  <c r="T148" i="10"/>
  <c r="N148" i="10"/>
  <c r="N146" i="10" s="1"/>
  <c r="M148" i="10"/>
  <c r="M146" i="10" s="1"/>
  <c r="P146" i="10" s="1"/>
  <c r="L148" i="10"/>
  <c r="O148" i="10" s="1"/>
  <c r="U147" i="10"/>
  <c r="T147" i="10"/>
  <c r="P147" i="10"/>
  <c r="O147" i="10"/>
  <c r="S146" i="10"/>
  <c r="R146" i="10"/>
  <c r="U146" i="10" s="1"/>
  <c r="Q146" i="10"/>
  <c r="T146" i="10" s="1"/>
  <c r="S145" i="10"/>
  <c r="S143" i="10" s="1"/>
  <c r="R145" i="10"/>
  <c r="R143" i="10" s="1"/>
  <c r="U143" i="10" s="1"/>
  <c r="Q145" i="10"/>
  <c r="T145" i="10" s="1"/>
  <c r="N145" i="10"/>
  <c r="N143" i="10" s="1"/>
  <c r="M145" i="10"/>
  <c r="M143" i="10" s="1"/>
  <c r="P143" i="10" s="1"/>
  <c r="L145" i="10"/>
  <c r="O145" i="10" s="1"/>
  <c r="U144" i="10"/>
  <c r="T144" i="10"/>
  <c r="P144" i="10"/>
  <c r="O144" i="10"/>
  <c r="T141" i="10"/>
  <c r="S141" i="10"/>
  <c r="R141" i="10"/>
  <c r="U141" i="10" s="1"/>
  <c r="Q141" i="10"/>
  <c r="N141" i="10"/>
  <c r="M141" i="10"/>
  <c r="L141" i="10"/>
  <c r="O141" i="10" s="1"/>
  <c r="J139" i="10"/>
  <c r="J138" i="10"/>
  <c r="J137" i="10"/>
  <c r="I131" i="10"/>
  <c r="K131" i="10" s="1"/>
  <c r="I130" i="10"/>
  <c r="K130" i="10" s="1"/>
  <c r="I129" i="10"/>
  <c r="K129" i="10" s="1"/>
  <c r="I128" i="10"/>
  <c r="K128" i="10" s="1"/>
  <c r="U126" i="10"/>
  <c r="T126" i="10"/>
  <c r="N126" i="10"/>
  <c r="M126" i="10"/>
  <c r="P126" i="10" s="1"/>
  <c r="L126" i="10"/>
  <c r="O126" i="10" s="1"/>
  <c r="U125" i="10"/>
  <c r="T125" i="10"/>
  <c r="P125" i="10"/>
  <c r="O125" i="10"/>
  <c r="S124" i="10"/>
  <c r="R124" i="10"/>
  <c r="U124" i="10" s="1"/>
  <c r="Q124" i="10"/>
  <c r="T124" i="10" s="1"/>
  <c r="S123" i="10"/>
  <c r="S121" i="10" s="1"/>
  <c r="R123" i="10"/>
  <c r="Q123" i="10"/>
  <c r="Q120" i="10" s="1"/>
  <c r="N123" i="10"/>
  <c r="N121" i="10" s="1"/>
  <c r="M123" i="10"/>
  <c r="M121" i="10" s="1"/>
  <c r="P121" i="10" s="1"/>
  <c r="L123" i="10"/>
  <c r="O123" i="10" s="1"/>
  <c r="U122" i="10"/>
  <c r="T122" i="10"/>
  <c r="P122" i="10"/>
  <c r="O122" i="10"/>
  <c r="T119" i="10"/>
  <c r="S119" i="10"/>
  <c r="R119" i="10"/>
  <c r="U119" i="10" s="1"/>
  <c r="Q119" i="10"/>
  <c r="N119" i="10"/>
  <c r="M119" i="10"/>
  <c r="P119" i="10" s="1"/>
  <c r="L119" i="10"/>
  <c r="O119" i="10" s="1"/>
  <c r="J117" i="10"/>
  <c r="I115" i="10"/>
  <c r="K115" i="10" s="1"/>
  <c r="I114" i="10"/>
  <c r="K114" i="10" s="1"/>
  <c r="I110" i="10"/>
  <c r="K110" i="10" s="1"/>
  <c r="I109" i="10"/>
  <c r="K109" i="10" s="1"/>
  <c r="U103" i="10"/>
  <c r="T103" i="10"/>
  <c r="N103" i="10"/>
  <c r="M103" i="10"/>
  <c r="M101" i="10" s="1"/>
  <c r="P101" i="10" s="1"/>
  <c r="L103" i="10"/>
  <c r="O103" i="10" s="1"/>
  <c r="U102" i="10"/>
  <c r="T102" i="10"/>
  <c r="P102" i="10"/>
  <c r="O102" i="10"/>
  <c r="U101" i="10"/>
  <c r="T101" i="10"/>
  <c r="S101" i="10"/>
  <c r="R101" i="10"/>
  <c r="Q101" i="10"/>
  <c r="S100" i="10"/>
  <c r="S98" i="10" s="1"/>
  <c r="R100" i="10"/>
  <c r="Q100" i="10"/>
  <c r="Q97" i="10" s="1"/>
  <c r="N100" i="10"/>
  <c r="M100" i="10"/>
  <c r="L100" i="10"/>
  <c r="O100" i="10" s="1"/>
  <c r="U99" i="10"/>
  <c r="T99" i="10"/>
  <c r="P99" i="10"/>
  <c r="O99" i="10"/>
  <c r="U96" i="10"/>
  <c r="S96" i="10"/>
  <c r="R96" i="10"/>
  <c r="Q96" i="10"/>
  <c r="T96" i="10" s="1"/>
  <c r="P96" i="10"/>
  <c r="O96" i="10"/>
  <c r="N96" i="10"/>
  <c r="M96" i="10"/>
  <c r="L96" i="10"/>
  <c r="J94" i="10"/>
  <c r="J93" i="10"/>
  <c r="I91" i="10"/>
  <c r="K91" i="10" s="1"/>
  <c r="I90" i="10"/>
  <c r="K90" i="10" s="1"/>
  <c r="I89" i="10"/>
  <c r="K89" i="10" s="1"/>
  <c r="I88" i="10"/>
  <c r="K88" i="10" s="1"/>
  <c r="I87" i="10"/>
  <c r="I86" i="10"/>
  <c r="K86" i="10" s="1"/>
  <c r="I85" i="10"/>
  <c r="K85" i="10" s="1"/>
  <c r="J84" i="10"/>
  <c r="J72" i="10" s="1"/>
  <c r="J83" i="10"/>
  <c r="U81" i="10"/>
  <c r="T81" i="10"/>
  <c r="N81" i="10"/>
  <c r="N79" i="10" s="1"/>
  <c r="M81" i="10"/>
  <c r="L81" i="10"/>
  <c r="L79" i="10" s="1"/>
  <c r="O79" i="10" s="1"/>
  <c r="U80" i="10"/>
  <c r="T80" i="10"/>
  <c r="P80" i="10"/>
  <c r="O80" i="10"/>
  <c r="S79" i="10"/>
  <c r="R79" i="10"/>
  <c r="U79" i="10" s="1"/>
  <c r="Q79" i="10"/>
  <c r="T79" i="10" s="1"/>
  <c r="S78" i="10"/>
  <c r="S75" i="10" s="1"/>
  <c r="R78" i="10"/>
  <c r="Q78" i="10"/>
  <c r="Q76" i="10" s="1"/>
  <c r="N78" i="10"/>
  <c r="M78" i="10"/>
  <c r="M76" i="10" s="1"/>
  <c r="L78" i="10"/>
  <c r="U77" i="10"/>
  <c r="T77" i="10"/>
  <c r="P77" i="10"/>
  <c r="O77" i="10"/>
  <c r="U74" i="10"/>
  <c r="S74" i="10"/>
  <c r="R74" i="10"/>
  <c r="Q74" i="10"/>
  <c r="T74" i="10" s="1"/>
  <c r="P74" i="10"/>
  <c r="O74" i="10"/>
  <c r="N74" i="10"/>
  <c r="M74" i="10"/>
  <c r="L74" i="10"/>
  <c r="J71" i="10"/>
  <c r="U68" i="10"/>
  <c r="T68" i="10"/>
  <c r="N68" i="10"/>
  <c r="M68" i="10"/>
  <c r="L68" i="10"/>
  <c r="L66" i="10" s="1"/>
  <c r="O66" i="10" s="1"/>
  <c r="U67" i="10"/>
  <c r="T67" i="10"/>
  <c r="P67" i="10"/>
  <c r="O67" i="10"/>
  <c r="U66" i="10"/>
  <c r="S66" i="10"/>
  <c r="R66" i="10"/>
  <c r="Q66" i="10"/>
  <c r="T66" i="10" s="1"/>
  <c r="U65" i="10"/>
  <c r="T65" i="10"/>
  <c r="N65" i="10"/>
  <c r="N63" i="10" s="1"/>
  <c r="M65" i="10"/>
  <c r="L65" i="10"/>
  <c r="U64" i="10"/>
  <c r="T64" i="10"/>
  <c r="P64" i="10"/>
  <c r="O64" i="10"/>
  <c r="S63" i="10"/>
  <c r="R63" i="10"/>
  <c r="U63" i="10" s="1"/>
  <c r="Q63" i="10"/>
  <c r="T63" i="10" s="1"/>
  <c r="S62" i="10"/>
  <c r="R62" i="10"/>
  <c r="U62" i="10" s="1"/>
  <c r="Q62" i="10"/>
  <c r="T62" i="10" s="1"/>
  <c r="U61" i="10"/>
  <c r="T61" i="10"/>
  <c r="S61" i="10"/>
  <c r="R61" i="10"/>
  <c r="Q61" i="10"/>
  <c r="P61" i="10"/>
  <c r="O61" i="10"/>
  <c r="N61" i="10"/>
  <c r="M61" i="10"/>
  <c r="L61" i="10"/>
  <c r="S60" i="10"/>
  <c r="Q60" i="10"/>
  <c r="T60" i="10" s="1"/>
  <c r="U53" i="10"/>
  <c r="T53" i="10"/>
  <c r="N53" i="10"/>
  <c r="M53" i="10"/>
  <c r="L53" i="10"/>
  <c r="L51" i="10" s="1"/>
  <c r="O51" i="10" s="1"/>
  <c r="U52" i="10"/>
  <c r="T52" i="10"/>
  <c r="P52" i="10"/>
  <c r="O52" i="10"/>
  <c r="U51" i="10"/>
  <c r="S51" i="10"/>
  <c r="R51" i="10"/>
  <c r="Q51" i="10"/>
  <c r="T51" i="10" s="1"/>
  <c r="U50" i="10"/>
  <c r="T50" i="10"/>
  <c r="N50" i="10"/>
  <c r="M50" i="10"/>
  <c r="M48" i="10" s="1"/>
  <c r="L50" i="10"/>
  <c r="U49" i="10"/>
  <c r="T49" i="10"/>
  <c r="P49" i="10"/>
  <c r="O49" i="10"/>
  <c r="S48" i="10"/>
  <c r="R48" i="10"/>
  <c r="U48" i="10" s="1"/>
  <c r="Q48" i="10"/>
  <c r="T48" i="10" s="1"/>
  <c r="S47" i="10"/>
  <c r="R47" i="10"/>
  <c r="U47" i="10" s="1"/>
  <c r="Q47" i="10"/>
  <c r="T47" i="10" s="1"/>
  <c r="U46" i="10"/>
  <c r="T46" i="10"/>
  <c r="S46" i="10"/>
  <c r="R46" i="10"/>
  <c r="Q46" i="10"/>
  <c r="P46" i="10"/>
  <c r="O46" i="10"/>
  <c r="N46" i="10"/>
  <c r="M46" i="10"/>
  <c r="L46" i="10"/>
  <c r="S45" i="10"/>
  <c r="Q45" i="10"/>
  <c r="T45" i="10" s="1"/>
  <c r="T27" i="10"/>
  <c r="S27" i="10"/>
  <c r="R27" i="10"/>
  <c r="U27" i="10" s="1"/>
  <c r="Q27" i="10"/>
  <c r="S26" i="10"/>
  <c r="R26" i="10"/>
  <c r="U26" i="10" s="1"/>
  <c r="Q26" i="10"/>
  <c r="T26" i="10" s="1"/>
  <c r="P26" i="10"/>
  <c r="N26" i="10"/>
  <c r="M26" i="10"/>
  <c r="L26" i="10"/>
  <c r="O26" i="10" s="1"/>
  <c r="S23" i="10"/>
  <c r="R23" i="10"/>
  <c r="U23" i="10" s="1"/>
  <c r="Q23" i="10"/>
  <c r="T23" i="10" s="1"/>
  <c r="N23" i="10"/>
  <c r="M23" i="10"/>
  <c r="M20" i="10" s="1"/>
  <c r="P20" i="10" s="1"/>
  <c r="L23" i="10"/>
  <c r="O23" i="10" s="1"/>
  <c r="S20" i="10"/>
  <c r="N20" i="10"/>
  <c r="A788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H777" i="9"/>
  <c r="I776" i="9"/>
  <c r="I775" i="9"/>
  <c r="I774" i="9"/>
  <c r="I772" i="9"/>
  <c r="K772" i="9" s="1"/>
  <c r="I770" i="9"/>
  <c r="K770" i="9" s="1"/>
  <c r="U768" i="9"/>
  <c r="T768" i="9"/>
  <c r="P768" i="9"/>
  <c r="O768" i="9"/>
  <c r="U767" i="9"/>
  <c r="T767" i="9"/>
  <c r="P767" i="9"/>
  <c r="O767" i="9"/>
  <c r="T766" i="9"/>
  <c r="S766" i="9"/>
  <c r="R766" i="9"/>
  <c r="U766" i="9" s="1"/>
  <c r="Q766" i="9"/>
  <c r="P766" i="9"/>
  <c r="N766" i="9"/>
  <c r="M766" i="9"/>
  <c r="L766" i="9"/>
  <c r="O766" i="9" s="1"/>
  <c r="S765" i="9"/>
  <c r="S762" i="9" s="1"/>
  <c r="S760" i="9" s="1"/>
  <c r="R765" i="9"/>
  <c r="R763" i="9" s="1"/>
  <c r="Q765" i="9"/>
  <c r="P765" i="9"/>
  <c r="O765" i="9"/>
  <c r="U764" i="9"/>
  <c r="T764" i="9"/>
  <c r="P764" i="9"/>
  <c r="O764" i="9"/>
  <c r="O763" i="9"/>
  <c r="N763" i="9"/>
  <c r="M763" i="9"/>
  <c r="P763" i="9" s="1"/>
  <c r="L763" i="9"/>
  <c r="O762" i="9"/>
  <c r="N762" i="9"/>
  <c r="M762" i="9"/>
  <c r="P762" i="9" s="1"/>
  <c r="L762" i="9"/>
  <c r="U761" i="9"/>
  <c r="S761" i="9"/>
  <c r="R761" i="9"/>
  <c r="Q761" i="9"/>
  <c r="T761" i="9" s="1"/>
  <c r="O761" i="9"/>
  <c r="N761" i="9"/>
  <c r="N760" i="9" s="1"/>
  <c r="M761" i="9"/>
  <c r="P761" i="9" s="1"/>
  <c r="L761" i="9"/>
  <c r="L760" i="9" s="1"/>
  <c r="O760" i="9" s="1"/>
  <c r="M760" i="9"/>
  <c r="P760" i="9" s="1"/>
  <c r="J759" i="9"/>
  <c r="J758" i="9"/>
  <c r="I756" i="9"/>
  <c r="K756" i="9" s="1"/>
  <c r="I753" i="9"/>
  <c r="K753" i="9" s="1"/>
  <c r="I750" i="9"/>
  <c r="K750" i="9" s="1"/>
  <c r="I747" i="9"/>
  <c r="K747" i="9" s="1"/>
  <c r="I745" i="9"/>
  <c r="K745" i="9" s="1"/>
  <c r="I743" i="9"/>
  <c r="K743" i="9" s="1"/>
  <c r="I741" i="9"/>
  <c r="K741" i="9" s="1"/>
  <c r="U737" i="9"/>
  <c r="T737" i="9"/>
  <c r="P737" i="9"/>
  <c r="O737" i="9"/>
  <c r="U736" i="9"/>
  <c r="T736" i="9"/>
  <c r="P736" i="9"/>
  <c r="O736" i="9"/>
  <c r="U735" i="9"/>
  <c r="S735" i="9"/>
  <c r="R735" i="9"/>
  <c r="Q735" i="9"/>
  <c r="T735" i="9" s="1"/>
  <c r="O735" i="9"/>
  <c r="N735" i="9"/>
  <c r="M735" i="9"/>
  <c r="P735" i="9" s="1"/>
  <c r="L735" i="9"/>
  <c r="S734" i="9"/>
  <c r="R734" i="9"/>
  <c r="R731" i="9" s="1"/>
  <c r="R729" i="9" s="1"/>
  <c r="Q734" i="9"/>
  <c r="Q732" i="9" s="1"/>
  <c r="P734" i="9"/>
  <c r="O734" i="9"/>
  <c r="U733" i="9"/>
  <c r="T733" i="9"/>
  <c r="P733" i="9"/>
  <c r="O733" i="9"/>
  <c r="P732" i="9"/>
  <c r="N732" i="9"/>
  <c r="M732" i="9"/>
  <c r="L732" i="9"/>
  <c r="O732" i="9" s="1"/>
  <c r="P731" i="9"/>
  <c r="N731" i="9"/>
  <c r="M731" i="9"/>
  <c r="M729" i="9" s="1"/>
  <c r="P729" i="9" s="1"/>
  <c r="L731" i="9"/>
  <c r="O731" i="9" s="1"/>
  <c r="T730" i="9"/>
  <c r="S730" i="9"/>
  <c r="R730" i="9"/>
  <c r="U730" i="9" s="1"/>
  <c r="Q730" i="9"/>
  <c r="P730" i="9"/>
  <c r="N730" i="9"/>
  <c r="N729" i="9" s="1"/>
  <c r="M730" i="9"/>
  <c r="L730" i="9"/>
  <c r="O730" i="9" s="1"/>
  <c r="L729" i="9"/>
  <c r="O729" i="9" s="1"/>
  <c r="J728" i="9"/>
  <c r="I728" i="9"/>
  <c r="K728" i="9" s="1"/>
  <c r="J727" i="9"/>
  <c r="I727" i="9"/>
  <c r="K727" i="9" s="1"/>
  <c r="U723" i="9"/>
  <c r="T723" i="9"/>
  <c r="P723" i="9"/>
  <c r="O723" i="9"/>
  <c r="U722" i="9"/>
  <c r="T722" i="9"/>
  <c r="P722" i="9"/>
  <c r="O722" i="9"/>
  <c r="T721" i="9"/>
  <c r="S721" i="9"/>
  <c r="R721" i="9"/>
  <c r="U721" i="9" s="1"/>
  <c r="Q721" i="9"/>
  <c r="P721" i="9"/>
  <c r="N721" i="9"/>
  <c r="M721" i="9"/>
  <c r="L721" i="9"/>
  <c r="O721" i="9" s="1"/>
  <c r="U720" i="9"/>
  <c r="T720" i="9"/>
  <c r="P720" i="9"/>
  <c r="O720" i="9"/>
  <c r="U719" i="9"/>
  <c r="T719" i="9"/>
  <c r="P719" i="9"/>
  <c r="O719" i="9"/>
  <c r="T718" i="9"/>
  <c r="S718" i="9"/>
  <c r="R718" i="9"/>
  <c r="U718" i="9" s="1"/>
  <c r="Q718" i="9"/>
  <c r="N718" i="9"/>
  <c r="M718" i="9"/>
  <c r="P718" i="9" s="1"/>
  <c r="L718" i="9"/>
  <c r="O718" i="9" s="1"/>
  <c r="S717" i="9"/>
  <c r="R717" i="9"/>
  <c r="U717" i="9" s="1"/>
  <c r="Q717" i="9"/>
  <c r="T717" i="9" s="1"/>
  <c r="P717" i="9"/>
  <c r="N717" i="9"/>
  <c r="M717" i="9"/>
  <c r="L717" i="9"/>
  <c r="O717" i="9" s="1"/>
  <c r="U716" i="9"/>
  <c r="T716" i="9"/>
  <c r="S716" i="9"/>
  <c r="R716" i="9"/>
  <c r="Q716" i="9"/>
  <c r="Q715" i="9" s="1"/>
  <c r="T715" i="9" s="1"/>
  <c r="P716" i="9"/>
  <c r="O716" i="9"/>
  <c r="N716" i="9"/>
  <c r="N715" i="9" s="1"/>
  <c r="M716" i="9"/>
  <c r="L716" i="9"/>
  <c r="S715" i="9"/>
  <c r="R715" i="9"/>
  <c r="U715" i="9" s="1"/>
  <c r="M715" i="9"/>
  <c r="P715" i="9" s="1"/>
  <c r="L715" i="9"/>
  <c r="O715" i="9" s="1"/>
  <c r="K713" i="9"/>
  <c r="J713" i="9"/>
  <c r="K711" i="9"/>
  <c r="J711" i="9"/>
  <c r="J710" i="9"/>
  <c r="I710" i="9"/>
  <c r="K709" i="9"/>
  <c r="J709" i="9"/>
  <c r="J708" i="9"/>
  <c r="J690" i="9" s="1"/>
  <c r="I708" i="9"/>
  <c r="I690" i="9" s="1"/>
  <c r="K707" i="9"/>
  <c r="J707" i="9"/>
  <c r="J706" i="9"/>
  <c r="I706" i="9"/>
  <c r="K705" i="9"/>
  <c r="J705" i="9"/>
  <c r="J704" i="9"/>
  <c r="I704" i="9"/>
  <c r="K703" i="9"/>
  <c r="I701" i="9"/>
  <c r="K701" i="9" s="1"/>
  <c r="U699" i="9"/>
  <c r="T699" i="9"/>
  <c r="P699" i="9"/>
  <c r="O699" i="9"/>
  <c r="U698" i="9"/>
  <c r="T698" i="9"/>
  <c r="P698" i="9"/>
  <c r="O698" i="9"/>
  <c r="S697" i="9"/>
  <c r="R697" i="9"/>
  <c r="U697" i="9" s="1"/>
  <c r="Q697" i="9"/>
  <c r="T697" i="9" s="1"/>
  <c r="N697" i="9"/>
  <c r="M697" i="9"/>
  <c r="P697" i="9" s="1"/>
  <c r="L697" i="9"/>
  <c r="O697" i="9" s="1"/>
  <c r="S696" i="9"/>
  <c r="R696" i="9"/>
  <c r="Q696" i="9"/>
  <c r="P696" i="9"/>
  <c r="O696" i="9"/>
  <c r="U695" i="9"/>
  <c r="T695" i="9"/>
  <c r="P695" i="9"/>
  <c r="O695" i="9"/>
  <c r="P694" i="9"/>
  <c r="O694" i="9"/>
  <c r="N694" i="9"/>
  <c r="M694" i="9"/>
  <c r="L694" i="9"/>
  <c r="N693" i="9"/>
  <c r="M693" i="9"/>
  <c r="P693" i="9" s="1"/>
  <c r="L693" i="9"/>
  <c r="O693" i="9" s="1"/>
  <c r="S692" i="9"/>
  <c r="R692" i="9"/>
  <c r="U692" i="9" s="1"/>
  <c r="Q692" i="9"/>
  <c r="P692" i="9"/>
  <c r="N692" i="9"/>
  <c r="M692" i="9"/>
  <c r="M691" i="9" s="1"/>
  <c r="P691" i="9" s="1"/>
  <c r="L692" i="9"/>
  <c r="O692" i="9" s="1"/>
  <c r="N691" i="9"/>
  <c r="J683" i="9"/>
  <c r="I683" i="9"/>
  <c r="K683" i="9" s="1"/>
  <c r="J682" i="9"/>
  <c r="I682" i="9"/>
  <c r="J681" i="9"/>
  <c r="J680" i="9"/>
  <c r="I680" i="9"/>
  <c r="J679" i="9"/>
  <c r="I679" i="9"/>
  <c r="J678" i="9"/>
  <c r="J677" i="9"/>
  <c r="I677" i="9"/>
  <c r="I676" i="9"/>
  <c r="I675" i="9"/>
  <c r="J674" i="9"/>
  <c r="I674" i="9"/>
  <c r="J673" i="9"/>
  <c r="J672" i="9"/>
  <c r="J662" i="9"/>
  <c r="I662" i="9"/>
  <c r="I661" i="9"/>
  <c r="I658" i="9"/>
  <c r="J655" i="9"/>
  <c r="I655" i="9"/>
  <c r="J654" i="9"/>
  <c r="I654" i="9"/>
  <c r="K654" i="9" s="1"/>
  <c r="J653" i="9"/>
  <c r="I653" i="9"/>
  <c r="K653" i="9" s="1"/>
  <c r="U651" i="9"/>
  <c r="T651" i="9"/>
  <c r="P651" i="9"/>
  <c r="O651" i="9"/>
  <c r="U650" i="9"/>
  <c r="T650" i="9"/>
  <c r="P650" i="9"/>
  <c r="O650" i="9"/>
  <c r="S649" i="9"/>
  <c r="R649" i="9"/>
  <c r="U649" i="9" s="1"/>
  <c r="Q649" i="9"/>
  <c r="T649" i="9" s="1"/>
  <c r="N649" i="9"/>
  <c r="M649" i="9"/>
  <c r="P649" i="9" s="1"/>
  <c r="L649" i="9"/>
  <c r="O649" i="9" s="1"/>
  <c r="S648" i="9"/>
  <c r="S646" i="9" s="1"/>
  <c r="R648" i="9"/>
  <c r="Q648" i="9"/>
  <c r="P648" i="9"/>
  <c r="O648" i="9"/>
  <c r="U647" i="9"/>
  <c r="T647" i="9"/>
  <c r="P647" i="9"/>
  <c r="O647" i="9"/>
  <c r="P646" i="9"/>
  <c r="O646" i="9"/>
  <c r="N646" i="9"/>
  <c r="M646" i="9"/>
  <c r="L646" i="9"/>
  <c r="N645" i="9"/>
  <c r="M645" i="9"/>
  <c r="P645" i="9" s="1"/>
  <c r="L645" i="9"/>
  <c r="O645" i="9" s="1"/>
  <c r="S644" i="9"/>
  <c r="R644" i="9"/>
  <c r="U644" i="9" s="1"/>
  <c r="Q644" i="9"/>
  <c r="P644" i="9"/>
  <c r="N644" i="9"/>
  <c r="M644" i="9"/>
  <c r="M643" i="9" s="1"/>
  <c r="P643" i="9" s="1"/>
  <c r="L644" i="9"/>
  <c r="O644" i="9" s="1"/>
  <c r="N643" i="9"/>
  <c r="J637" i="9"/>
  <c r="J636" i="9"/>
  <c r="I636" i="9"/>
  <c r="K636" i="9" s="1"/>
  <c r="J633" i="9"/>
  <c r="I629" i="9"/>
  <c r="K629" i="9" s="1"/>
  <c r="I628" i="9"/>
  <c r="K628" i="9" s="1"/>
  <c r="J627" i="9"/>
  <c r="J616" i="9" s="1"/>
  <c r="I627" i="9"/>
  <c r="K630" i="9" s="1"/>
  <c r="U625" i="9"/>
  <c r="T625" i="9"/>
  <c r="P625" i="9"/>
  <c r="O625" i="9"/>
  <c r="U624" i="9"/>
  <c r="T624" i="9"/>
  <c r="P624" i="9"/>
  <c r="O624" i="9"/>
  <c r="T623" i="9"/>
  <c r="S623" i="9"/>
  <c r="R623" i="9"/>
  <c r="U623" i="9" s="1"/>
  <c r="Q623" i="9"/>
  <c r="N623" i="9"/>
  <c r="M623" i="9"/>
  <c r="P623" i="9" s="1"/>
  <c r="L623" i="9"/>
  <c r="O623" i="9" s="1"/>
  <c r="S622" i="9"/>
  <c r="R622" i="9"/>
  <c r="Q622" i="9"/>
  <c r="P622" i="9"/>
  <c r="O622" i="9"/>
  <c r="U621" i="9"/>
  <c r="T621" i="9"/>
  <c r="P621" i="9"/>
  <c r="O621" i="9"/>
  <c r="P620" i="9"/>
  <c r="O620" i="9"/>
  <c r="N620" i="9"/>
  <c r="M620" i="9"/>
  <c r="L620" i="9"/>
  <c r="O619" i="9"/>
  <c r="N619" i="9"/>
  <c r="M619" i="9"/>
  <c r="P619" i="9" s="1"/>
  <c r="L619" i="9"/>
  <c r="S618" i="9"/>
  <c r="R618" i="9"/>
  <c r="Q618" i="9"/>
  <c r="N618" i="9"/>
  <c r="N617" i="9" s="1"/>
  <c r="M618" i="9"/>
  <c r="P618" i="9" s="1"/>
  <c r="L618" i="9"/>
  <c r="U608" i="9"/>
  <c r="T608" i="9"/>
  <c r="P608" i="9"/>
  <c r="O608" i="9"/>
  <c r="U607" i="9"/>
  <c r="T607" i="9"/>
  <c r="P607" i="9"/>
  <c r="O607" i="9"/>
  <c r="T606" i="9"/>
  <c r="S606" i="9"/>
  <c r="R606" i="9"/>
  <c r="U606" i="9" s="1"/>
  <c r="Q606" i="9"/>
  <c r="N606" i="9"/>
  <c r="M606" i="9"/>
  <c r="P606" i="9" s="1"/>
  <c r="L606" i="9"/>
  <c r="O606" i="9" s="1"/>
  <c r="U605" i="9"/>
  <c r="T605" i="9"/>
  <c r="P605" i="9"/>
  <c r="O605" i="9"/>
  <c r="U604" i="9"/>
  <c r="T604" i="9"/>
  <c r="P604" i="9"/>
  <c r="O604" i="9"/>
  <c r="T603" i="9"/>
  <c r="S603" i="9"/>
  <c r="R603" i="9"/>
  <c r="U603" i="9" s="1"/>
  <c r="Q603" i="9"/>
  <c r="N603" i="9"/>
  <c r="M603" i="9"/>
  <c r="P603" i="9" s="1"/>
  <c r="L603" i="9"/>
  <c r="O603" i="9" s="1"/>
  <c r="S602" i="9"/>
  <c r="R602" i="9"/>
  <c r="U602" i="9" s="1"/>
  <c r="Q602" i="9"/>
  <c r="T602" i="9" s="1"/>
  <c r="P602" i="9"/>
  <c r="N602" i="9"/>
  <c r="M602" i="9"/>
  <c r="L602" i="9"/>
  <c r="O602" i="9" s="1"/>
  <c r="U601" i="9"/>
  <c r="T601" i="9"/>
  <c r="S601" i="9"/>
  <c r="R601" i="9"/>
  <c r="Q601" i="9"/>
  <c r="P601" i="9"/>
  <c r="O601" i="9"/>
  <c r="N601" i="9"/>
  <c r="N600" i="9" s="1"/>
  <c r="M601" i="9"/>
  <c r="L601" i="9"/>
  <c r="S600" i="9"/>
  <c r="R600" i="9"/>
  <c r="U600" i="9" s="1"/>
  <c r="M600" i="9"/>
  <c r="P600" i="9" s="1"/>
  <c r="L600" i="9"/>
  <c r="O600" i="9" s="1"/>
  <c r="U585" i="9"/>
  <c r="T585" i="9"/>
  <c r="P585" i="9"/>
  <c r="O585" i="9"/>
  <c r="U584" i="9"/>
  <c r="T584" i="9"/>
  <c r="P584" i="9"/>
  <c r="O584" i="9"/>
  <c r="T583" i="9"/>
  <c r="S583" i="9"/>
  <c r="R583" i="9"/>
  <c r="U583" i="9" s="1"/>
  <c r="Q583" i="9"/>
  <c r="N583" i="9"/>
  <c r="M583" i="9"/>
  <c r="P583" i="9" s="1"/>
  <c r="L583" i="9"/>
  <c r="O583" i="9" s="1"/>
  <c r="U582" i="9"/>
  <c r="T582" i="9"/>
  <c r="P582" i="9"/>
  <c r="O582" i="9"/>
  <c r="U581" i="9"/>
  <c r="T581" i="9"/>
  <c r="P581" i="9"/>
  <c r="O581" i="9"/>
  <c r="T580" i="9"/>
  <c r="S580" i="9"/>
  <c r="R580" i="9"/>
  <c r="U580" i="9" s="1"/>
  <c r="Q580" i="9"/>
  <c r="N580" i="9"/>
  <c r="M580" i="9"/>
  <c r="P580" i="9" s="1"/>
  <c r="L580" i="9"/>
  <c r="O580" i="9" s="1"/>
  <c r="S579" i="9"/>
  <c r="R579" i="9"/>
  <c r="U579" i="9" s="1"/>
  <c r="Q579" i="9"/>
  <c r="T579" i="9" s="1"/>
  <c r="P579" i="9"/>
  <c r="N579" i="9"/>
  <c r="M579" i="9"/>
  <c r="L579" i="9"/>
  <c r="U578" i="9"/>
  <c r="T578" i="9"/>
  <c r="S578" i="9"/>
  <c r="R578" i="9"/>
  <c r="Q578" i="9"/>
  <c r="Q577" i="9" s="1"/>
  <c r="P578" i="9"/>
  <c r="O578" i="9"/>
  <c r="N578" i="9"/>
  <c r="M578" i="9"/>
  <c r="L578" i="9"/>
  <c r="T577" i="9"/>
  <c r="S577" i="9"/>
  <c r="R577" i="9"/>
  <c r="U577" i="9" s="1"/>
  <c r="N577" i="9"/>
  <c r="M577" i="9"/>
  <c r="P577" i="9" s="1"/>
  <c r="J576" i="9"/>
  <c r="I576" i="9"/>
  <c r="K576" i="9" s="1"/>
  <c r="U564" i="9"/>
  <c r="T564" i="9"/>
  <c r="P564" i="9"/>
  <c r="O564" i="9"/>
  <c r="U563" i="9"/>
  <c r="T563" i="9"/>
  <c r="P563" i="9"/>
  <c r="O563" i="9"/>
  <c r="U562" i="9"/>
  <c r="S562" i="9"/>
  <c r="R562" i="9"/>
  <c r="Q562" i="9"/>
  <c r="T562" i="9" s="1"/>
  <c r="P562" i="9"/>
  <c r="O562" i="9"/>
  <c r="N562" i="9"/>
  <c r="M562" i="9"/>
  <c r="L562" i="9"/>
  <c r="U561" i="9"/>
  <c r="T561" i="9"/>
  <c r="P561" i="9"/>
  <c r="O561" i="9"/>
  <c r="U560" i="9"/>
  <c r="T560" i="9"/>
  <c r="P560" i="9"/>
  <c r="O560" i="9"/>
  <c r="U559" i="9"/>
  <c r="S559" i="9"/>
  <c r="R559" i="9"/>
  <c r="Q559" i="9"/>
  <c r="T559" i="9" s="1"/>
  <c r="P559" i="9"/>
  <c r="O559" i="9"/>
  <c r="N559" i="9"/>
  <c r="M559" i="9"/>
  <c r="L559" i="9"/>
  <c r="U558" i="9"/>
  <c r="T558" i="9"/>
  <c r="S558" i="9"/>
  <c r="R558" i="9"/>
  <c r="Q558" i="9"/>
  <c r="O558" i="9"/>
  <c r="N558" i="9"/>
  <c r="M558" i="9"/>
  <c r="P558" i="9" s="1"/>
  <c r="L558" i="9"/>
  <c r="S557" i="9"/>
  <c r="R557" i="9"/>
  <c r="Q557" i="9"/>
  <c r="T557" i="9" s="1"/>
  <c r="N557" i="9"/>
  <c r="N556" i="9" s="1"/>
  <c r="M557" i="9"/>
  <c r="L557" i="9"/>
  <c r="Q556" i="9"/>
  <c r="T556" i="9" s="1"/>
  <c r="K555" i="9"/>
  <c r="J555" i="9"/>
  <c r="I555" i="9"/>
  <c r="U543" i="9"/>
  <c r="T543" i="9"/>
  <c r="P543" i="9"/>
  <c r="O543" i="9"/>
  <c r="U542" i="9"/>
  <c r="T542" i="9"/>
  <c r="P542" i="9"/>
  <c r="O542" i="9"/>
  <c r="T541" i="9"/>
  <c r="S541" i="9"/>
  <c r="R541" i="9"/>
  <c r="U541" i="9" s="1"/>
  <c r="Q541" i="9"/>
  <c r="N541" i="9"/>
  <c r="M541" i="9"/>
  <c r="P541" i="9" s="1"/>
  <c r="L541" i="9"/>
  <c r="O541" i="9" s="1"/>
  <c r="U540" i="9"/>
  <c r="T540" i="9"/>
  <c r="P540" i="9"/>
  <c r="O540" i="9"/>
  <c r="U539" i="9"/>
  <c r="T539" i="9"/>
  <c r="P539" i="9"/>
  <c r="O539" i="9"/>
  <c r="T538" i="9"/>
  <c r="S538" i="9"/>
  <c r="R538" i="9"/>
  <c r="U538" i="9" s="1"/>
  <c r="Q538" i="9"/>
  <c r="N538" i="9"/>
  <c r="M538" i="9"/>
  <c r="P538" i="9" s="1"/>
  <c r="L538" i="9"/>
  <c r="O538" i="9" s="1"/>
  <c r="S537" i="9"/>
  <c r="R537" i="9"/>
  <c r="U537" i="9" s="1"/>
  <c r="Q537" i="9"/>
  <c r="T537" i="9" s="1"/>
  <c r="P537" i="9"/>
  <c r="N537" i="9"/>
  <c r="M537" i="9"/>
  <c r="L537" i="9"/>
  <c r="O537" i="9" s="1"/>
  <c r="U536" i="9"/>
  <c r="T536" i="9"/>
  <c r="S536" i="9"/>
  <c r="R536" i="9"/>
  <c r="Q536" i="9"/>
  <c r="P536" i="9"/>
  <c r="O536" i="9"/>
  <c r="N536" i="9"/>
  <c r="N535" i="9" s="1"/>
  <c r="M536" i="9"/>
  <c r="L536" i="9"/>
  <c r="S535" i="9"/>
  <c r="R535" i="9"/>
  <c r="U535" i="9" s="1"/>
  <c r="M535" i="9"/>
  <c r="P535" i="9" s="1"/>
  <c r="L535" i="9"/>
  <c r="O535" i="9" s="1"/>
  <c r="J534" i="9"/>
  <c r="I534" i="9"/>
  <c r="K534" i="9" s="1"/>
  <c r="K525" i="9"/>
  <c r="K524" i="9"/>
  <c r="U522" i="9"/>
  <c r="T522" i="9"/>
  <c r="N522" i="9"/>
  <c r="M522" i="9"/>
  <c r="L522" i="9"/>
  <c r="U521" i="9"/>
  <c r="T521" i="9"/>
  <c r="P521" i="9"/>
  <c r="O521" i="9"/>
  <c r="U520" i="9"/>
  <c r="T520" i="9"/>
  <c r="S520" i="9"/>
  <c r="R520" i="9"/>
  <c r="Q520" i="9"/>
  <c r="U519" i="9"/>
  <c r="T519" i="9"/>
  <c r="N519" i="9"/>
  <c r="N517" i="9" s="1"/>
  <c r="M519" i="9"/>
  <c r="P519" i="9" s="1"/>
  <c r="L519" i="9"/>
  <c r="U518" i="9"/>
  <c r="T518" i="9"/>
  <c r="P518" i="9"/>
  <c r="O518" i="9"/>
  <c r="S517" i="9"/>
  <c r="R517" i="9"/>
  <c r="U517" i="9" s="1"/>
  <c r="Q517" i="9"/>
  <c r="T517" i="9" s="1"/>
  <c r="U516" i="9"/>
  <c r="S516" i="9"/>
  <c r="R516" i="9"/>
  <c r="R514" i="9" s="1"/>
  <c r="U514" i="9" s="1"/>
  <c r="Q516" i="9"/>
  <c r="T516" i="9" s="1"/>
  <c r="U515" i="9"/>
  <c r="T515" i="9"/>
  <c r="S515" i="9"/>
  <c r="R515" i="9"/>
  <c r="Q515" i="9"/>
  <c r="P515" i="9"/>
  <c r="O515" i="9"/>
  <c r="N515" i="9"/>
  <c r="M515" i="9"/>
  <c r="L515" i="9"/>
  <c r="S514" i="9"/>
  <c r="Q514" i="9"/>
  <c r="T514" i="9" s="1"/>
  <c r="K513" i="9"/>
  <c r="J513" i="9"/>
  <c r="I513" i="9"/>
  <c r="I510" i="9"/>
  <c r="K510" i="9" s="1"/>
  <c r="K509" i="9"/>
  <c r="I508" i="9"/>
  <c r="K508" i="9" s="1"/>
  <c r="I507" i="9"/>
  <c r="I506" i="9"/>
  <c r="K506" i="9" s="1"/>
  <c r="I505" i="9"/>
  <c r="K505" i="9" s="1"/>
  <c r="I504" i="9"/>
  <c r="U502" i="9"/>
  <c r="T502" i="9"/>
  <c r="P502" i="9"/>
  <c r="O502" i="9"/>
  <c r="U501" i="9"/>
  <c r="T501" i="9"/>
  <c r="P501" i="9"/>
  <c r="O501" i="9"/>
  <c r="S500" i="9"/>
  <c r="R500" i="9"/>
  <c r="U500" i="9" s="1"/>
  <c r="Q500" i="9"/>
  <c r="T500" i="9" s="1"/>
  <c r="P500" i="9"/>
  <c r="N500" i="9"/>
  <c r="M500" i="9"/>
  <c r="L500" i="9"/>
  <c r="O500" i="9" s="1"/>
  <c r="S499" i="9"/>
  <c r="S497" i="9" s="1"/>
  <c r="R499" i="9"/>
  <c r="Q499" i="9"/>
  <c r="Q497" i="9" s="1"/>
  <c r="T497" i="9" s="1"/>
  <c r="P499" i="9"/>
  <c r="O499" i="9"/>
  <c r="U498" i="9"/>
  <c r="T498" i="9"/>
  <c r="P498" i="9"/>
  <c r="O498" i="9"/>
  <c r="P497" i="9"/>
  <c r="O497" i="9"/>
  <c r="N497" i="9"/>
  <c r="M497" i="9"/>
  <c r="L497" i="9"/>
  <c r="N496" i="9"/>
  <c r="M496" i="9"/>
  <c r="L496" i="9"/>
  <c r="O496" i="9" s="1"/>
  <c r="U495" i="9"/>
  <c r="S495" i="9"/>
  <c r="R495" i="9"/>
  <c r="Q495" i="9"/>
  <c r="P495" i="9"/>
  <c r="O495" i="9"/>
  <c r="N495" i="9"/>
  <c r="M495" i="9"/>
  <c r="L495" i="9"/>
  <c r="N494" i="9"/>
  <c r="K486" i="9"/>
  <c r="J486" i="9"/>
  <c r="I486" i="9"/>
  <c r="J485" i="9"/>
  <c r="I485" i="9"/>
  <c r="K485" i="9" s="1"/>
  <c r="J484" i="9"/>
  <c r="J483" i="9"/>
  <c r="K478" i="9"/>
  <c r="J478" i="9"/>
  <c r="K477" i="9"/>
  <c r="J477" i="9"/>
  <c r="K476" i="9"/>
  <c r="J476" i="9"/>
  <c r="J469" i="9"/>
  <c r="J468" i="9"/>
  <c r="J461" i="9"/>
  <c r="J460" i="9"/>
  <c r="J458" i="9" s="1"/>
  <c r="J459" i="9"/>
  <c r="I459" i="9"/>
  <c r="K459" i="9" s="1"/>
  <c r="I458" i="9"/>
  <c r="I457" i="9" s="1"/>
  <c r="K457" i="9" s="1"/>
  <c r="J457" i="9"/>
  <c r="J448" i="9"/>
  <c r="J447" i="9"/>
  <c r="J441" i="9" s="1"/>
  <c r="J424" i="9" s="1"/>
  <c r="J413" i="9" s="1"/>
  <c r="J442" i="9"/>
  <c r="I442" i="9"/>
  <c r="K442" i="9" s="1"/>
  <c r="I441" i="9"/>
  <c r="K441" i="9" s="1"/>
  <c r="J434" i="9"/>
  <c r="I434" i="9"/>
  <c r="K434" i="9" s="1"/>
  <c r="J433" i="9"/>
  <c r="I433" i="9"/>
  <c r="K433" i="9" s="1"/>
  <c r="J426" i="9"/>
  <c r="I426" i="9"/>
  <c r="K426" i="9" s="1"/>
  <c r="J425" i="9"/>
  <c r="I425" i="9"/>
  <c r="K425" i="9" s="1"/>
  <c r="U422" i="9"/>
  <c r="T422" i="9"/>
  <c r="P422" i="9"/>
  <c r="O422" i="9"/>
  <c r="U421" i="9"/>
  <c r="T421" i="9"/>
  <c r="P421" i="9"/>
  <c r="O421" i="9"/>
  <c r="U420" i="9"/>
  <c r="T420" i="9"/>
  <c r="S420" i="9"/>
  <c r="R420" i="9"/>
  <c r="Q420" i="9"/>
  <c r="P420" i="9"/>
  <c r="O420" i="9"/>
  <c r="N420" i="9"/>
  <c r="M420" i="9"/>
  <c r="L420" i="9"/>
  <c r="S419" i="9"/>
  <c r="R419" i="9"/>
  <c r="Q419" i="9"/>
  <c r="Q416" i="9" s="1"/>
  <c r="T416" i="9" s="1"/>
  <c r="P419" i="9"/>
  <c r="O419" i="9"/>
  <c r="U418" i="9"/>
  <c r="T418" i="9"/>
  <c r="P418" i="9"/>
  <c r="O418" i="9"/>
  <c r="P417" i="9"/>
  <c r="O417" i="9"/>
  <c r="N417" i="9"/>
  <c r="M417" i="9"/>
  <c r="L417" i="9"/>
  <c r="O416" i="9"/>
  <c r="N416" i="9"/>
  <c r="M416" i="9"/>
  <c r="L416" i="9"/>
  <c r="U415" i="9"/>
  <c r="S415" i="9"/>
  <c r="R415" i="9"/>
  <c r="Q415" i="9"/>
  <c r="O415" i="9"/>
  <c r="N415" i="9"/>
  <c r="N414" i="9" s="1"/>
  <c r="M415" i="9"/>
  <c r="P415" i="9" s="1"/>
  <c r="L415" i="9"/>
  <c r="L414" i="9"/>
  <c r="O414" i="9" s="1"/>
  <c r="U401" i="9"/>
  <c r="T401" i="9"/>
  <c r="P401" i="9"/>
  <c r="O401" i="9"/>
  <c r="U400" i="9"/>
  <c r="T400" i="9"/>
  <c r="P400" i="9"/>
  <c r="O400" i="9"/>
  <c r="T399" i="9"/>
  <c r="S399" i="9"/>
  <c r="R399" i="9"/>
  <c r="U399" i="9" s="1"/>
  <c r="Q399" i="9"/>
  <c r="N399" i="9"/>
  <c r="M399" i="9"/>
  <c r="P399" i="9" s="1"/>
  <c r="L399" i="9"/>
  <c r="O399" i="9" s="1"/>
  <c r="U398" i="9"/>
  <c r="T398" i="9"/>
  <c r="P398" i="9"/>
  <c r="O398" i="9"/>
  <c r="U397" i="9"/>
  <c r="T397" i="9"/>
  <c r="P397" i="9"/>
  <c r="O397" i="9"/>
  <c r="T396" i="9"/>
  <c r="S396" i="9"/>
  <c r="R396" i="9"/>
  <c r="U396" i="9" s="1"/>
  <c r="Q396" i="9"/>
  <c r="N396" i="9"/>
  <c r="M396" i="9"/>
  <c r="P396" i="9" s="1"/>
  <c r="L396" i="9"/>
  <c r="O396" i="9" s="1"/>
  <c r="S395" i="9"/>
  <c r="R395" i="9"/>
  <c r="U395" i="9" s="1"/>
  <c r="Q395" i="9"/>
  <c r="T395" i="9" s="1"/>
  <c r="P395" i="9"/>
  <c r="N395" i="9"/>
  <c r="M395" i="9"/>
  <c r="L395" i="9"/>
  <c r="O395" i="9" s="1"/>
  <c r="T394" i="9"/>
  <c r="S394" i="9"/>
  <c r="R394" i="9"/>
  <c r="Q394" i="9"/>
  <c r="P394" i="9"/>
  <c r="N394" i="9"/>
  <c r="M394" i="9"/>
  <c r="L394" i="9"/>
  <c r="O394" i="9" s="1"/>
  <c r="S393" i="9"/>
  <c r="M393" i="9"/>
  <c r="P393" i="9" s="1"/>
  <c r="L393" i="9"/>
  <c r="O393" i="9" s="1"/>
  <c r="J392" i="9"/>
  <c r="I392" i="9"/>
  <c r="K392" i="9" s="1"/>
  <c r="J389" i="9"/>
  <c r="I389" i="9"/>
  <c r="K389" i="9" s="1"/>
  <c r="K388" i="9"/>
  <c r="J388" i="9"/>
  <c r="J387" i="9"/>
  <c r="I387" i="9"/>
  <c r="K386" i="9"/>
  <c r="J386" i="9"/>
  <c r="U384" i="9"/>
  <c r="T384" i="9"/>
  <c r="P384" i="9"/>
  <c r="O384" i="9"/>
  <c r="U383" i="9"/>
  <c r="T383" i="9"/>
  <c r="P383" i="9"/>
  <c r="O383" i="9"/>
  <c r="S382" i="9"/>
  <c r="R382" i="9"/>
  <c r="U382" i="9" s="1"/>
  <c r="Q382" i="9"/>
  <c r="T382" i="9" s="1"/>
  <c r="N382" i="9"/>
  <c r="M382" i="9"/>
  <c r="P382" i="9" s="1"/>
  <c r="L382" i="9"/>
  <c r="O382" i="9" s="1"/>
  <c r="S381" i="9"/>
  <c r="S379" i="9" s="1"/>
  <c r="R381" i="9"/>
  <c r="Q381" i="9"/>
  <c r="P381" i="9"/>
  <c r="O381" i="9"/>
  <c r="U380" i="9"/>
  <c r="T380" i="9"/>
  <c r="P380" i="9"/>
  <c r="O380" i="9"/>
  <c r="O379" i="9"/>
  <c r="N379" i="9"/>
  <c r="M379" i="9"/>
  <c r="P379" i="9" s="1"/>
  <c r="L379" i="9"/>
  <c r="P378" i="9"/>
  <c r="N378" i="9"/>
  <c r="M378" i="9"/>
  <c r="M376" i="9" s="1"/>
  <c r="P376" i="9" s="1"/>
  <c r="L378" i="9"/>
  <c r="O378" i="9" s="1"/>
  <c r="U377" i="9"/>
  <c r="T377" i="9"/>
  <c r="S377" i="9"/>
  <c r="R377" i="9"/>
  <c r="Q377" i="9"/>
  <c r="P377" i="9"/>
  <c r="O377" i="9"/>
  <c r="N377" i="9"/>
  <c r="N376" i="9" s="1"/>
  <c r="M377" i="9"/>
  <c r="L377" i="9"/>
  <c r="L376" i="9"/>
  <c r="O376" i="9" s="1"/>
  <c r="D374" i="9"/>
  <c r="K373" i="9"/>
  <c r="J373" i="9"/>
  <c r="J372" i="9"/>
  <c r="J366" i="9" s="1"/>
  <c r="I372" i="9"/>
  <c r="I366" i="9" s="1"/>
  <c r="K371" i="9"/>
  <c r="J371" i="9"/>
  <c r="J370" i="9"/>
  <c r="I370" i="9"/>
  <c r="J369" i="9"/>
  <c r="I369" i="9"/>
  <c r="K368" i="9"/>
  <c r="J368" i="9"/>
  <c r="U365" i="9"/>
  <c r="T365" i="9"/>
  <c r="N365" i="9"/>
  <c r="M365" i="9"/>
  <c r="L365" i="9"/>
  <c r="U364" i="9"/>
  <c r="T364" i="9"/>
  <c r="P364" i="9"/>
  <c r="O364" i="9"/>
  <c r="U363" i="9"/>
  <c r="T363" i="9"/>
  <c r="S363" i="9"/>
  <c r="R363" i="9"/>
  <c r="Q363" i="9"/>
  <c r="U362" i="9"/>
  <c r="T362" i="9"/>
  <c r="N362" i="9"/>
  <c r="M362" i="9"/>
  <c r="M360" i="9" s="1"/>
  <c r="L362" i="9"/>
  <c r="L360" i="9" s="1"/>
  <c r="U361" i="9"/>
  <c r="T361" i="9"/>
  <c r="P361" i="9"/>
  <c r="O361" i="9"/>
  <c r="S360" i="9"/>
  <c r="R360" i="9"/>
  <c r="U360" i="9" s="1"/>
  <c r="Q360" i="9"/>
  <c r="T360" i="9" s="1"/>
  <c r="T359" i="9"/>
  <c r="S359" i="9"/>
  <c r="R359" i="9"/>
  <c r="Q359" i="9"/>
  <c r="U358" i="9"/>
  <c r="T358" i="9"/>
  <c r="S358" i="9"/>
  <c r="R358" i="9"/>
  <c r="Q358" i="9"/>
  <c r="P358" i="9"/>
  <c r="O358" i="9"/>
  <c r="N358" i="9"/>
  <c r="M358" i="9"/>
  <c r="L358" i="9"/>
  <c r="T357" i="9"/>
  <c r="S357" i="9"/>
  <c r="Q357" i="9"/>
  <c r="D355" i="9"/>
  <c r="J354" i="9"/>
  <c r="J353" i="9"/>
  <c r="D351" i="9"/>
  <c r="J350" i="9"/>
  <c r="J349" i="9"/>
  <c r="J348" i="9"/>
  <c r="J347" i="9"/>
  <c r="I347" i="9"/>
  <c r="J345" i="9"/>
  <c r="I345" i="9"/>
  <c r="I333" i="9" s="1"/>
  <c r="U342" i="9"/>
  <c r="T342" i="9"/>
  <c r="N342" i="9"/>
  <c r="N340" i="9" s="1"/>
  <c r="M342" i="9"/>
  <c r="L342" i="9"/>
  <c r="O342" i="9" s="1"/>
  <c r="U341" i="9"/>
  <c r="T341" i="9"/>
  <c r="P341" i="9"/>
  <c r="O341" i="9"/>
  <c r="T340" i="9"/>
  <c r="S340" i="9"/>
  <c r="R340" i="9"/>
  <c r="U340" i="9" s="1"/>
  <c r="Q340" i="9"/>
  <c r="U339" i="9"/>
  <c r="T339" i="9"/>
  <c r="N339" i="9"/>
  <c r="M339" i="9"/>
  <c r="L339" i="9"/>
  <c r="U338" i="9"/>
  <c r="T338" i="9"/>
  <c r="P338" i="9"/>
  <c r="O338" i="9"/>
  <c r="U337" i="9"/>
  <c r="S337" i="9"/>
  <c r="R337" i="9"/>
  <c r="Q337" i="9"/>
  <c r="T337" i="9" s="1"/>
  <c r="T336" i="9"/>
  <c r="S336" i="9"/>
  <c r="R336" i="9"/>
  <c r="U336" i="9" s="1"/>
  <c r="Q336" i="9"/>
  <c r="U335" i="9"/>
  <c r="S335" i="9"/>
  <c r="R335" i="9"/>
  <c r="Q335" i="9"/>
  <c r="T335" i="9" s="1"/>
  <c r="P335" i="9"/>
  <c r="O335" i="9"/>
  <c r="N335" i="9"/>
  <c r="M335" i="9"/>
  <c r="L335" i="9"/>
  <c r="S334" i="9"/>
  <c r="Q334" i="9"/>
  <c r="T334" i="9" s="1"/>
  <c r="I331" i="9"/>
  <c r="U329" i="9"/>
  <c r="T329" i="9"/>
  <c r="N329" i="9"/>
  <c r="N327" i="9" s="1"/>
  <c r="M329" i="9"/>
  <c r="L329" i="9"/>
  <c r="U328" i="9"/>
  <c r="T328" i="9"/>
  <c r="P328" i="9"/>
  <c r="O328" i="9"/>
  <c r="S327" i="9"/>
  <c r="R327" i="9"/>
  <c r="U327" i="9" s="1"/>
  <c r="Q327" i="9"/>
  <c r="T327" i="9" s="1"/>
  <c r="U326" i="9"/>
  <c r="T326" i="9"/>
  <c r="N326" i="9"/>
  <c r="M326" i="9"/>
  <c r="M323" i="9" s="1"/>
  <c r="L326" i="9"/>
  <c r="L324" i="9" s="1"/>
  <c r="O324" i="9" s="1"/>
  <c r="U325" i="9"/>
  <c r="T325" i="9"/>
  <c r="P325" i="9"/>
  <c r="O325" i="9"/>
  <c r="T324" i="9"/>
  <c r="S324" i="9"/>
  <c r="R324" i="9"/>
  <c r="U324" i="9" s="1"/>
  <c r="Q324" i="9"/>
  <c r="S323" i="9"/>
  <c r="S321" i="9" s="1"/>
  <c r="R323" i="9"/>
  <c r="U323" i="9" s="1"/>
  <c r="Q323" i="9"/>
  <c r="T323" i="9" s="1"/>
  <c r="T322" i="9"/>
  <c r="S322" i="9"/>
  <c r="R322" i="9"/>
  <c r="U322" i="9" s="1"/>
  <c r="Q322" i="9"/>
  <c r="P322" i="9"/>
  <c r="N322" i="9"/>
  <c r="M322" i="9"/>
  <c r="L322" i="9"/>
  <c r="R321" i="9"/>
  <c r="U321" i="9" s="1"/>
  <c r="J320" i="9"/>
  <c r="I315" i="9"/>
  <c r="U312" i="9"/>
  <c r="T312" i="9"/>
  <c r="N312" i="9"/>
  <c r="N310" i="9" s="1"/>
  <c r="M312" i="9"/>
  <c r="M310" i="9" s="1"/>
  <c r="P310" i="9" s="1"/>
  <c r="L312" i="9"/>
  <c r="L310" i="9" s="1"/>
  <c r="O310" i="9" s="1"/>
  <c r="U311" i="9"/>
  <c r="T311" i="9"/>
  <c r="P311" i="9"/>
  <c r="O311" i="9"/>
  <c r="S310" i="9"/>
  <c r="R310" i="9"/>
  <c r="U310" i="9" s="1"/>
  <c r="Q310" i="9"/>
  <c r="T310" i="9" s="1"/>
  <c r="S309" i="9"/>
  <c r="S307" i="9" s="1"/>
  <c r="R309" i="9"/>
  <c r="R307" i="9" s="1"/>
  <c r="Q309" i="9"/>
  <c r="Q306" i="9" s="1"/>
  <c r="Q304" i="9" s="1"/>
  <c r="N309" i="9"/>
  <c r="M309" i="9"/>
  <c r="L309" i="9"/>
  <c r="L307" i="9" s="1"/>
  <c r="O307" i="9" s="1"/>
  <c r="U308" i="9"/>
  <c r="T308" i="9"/>
  <c r="P308" i="9"/>
  <c r="O308" i="9"/>
  <c r="T305" i="9"/>
  <c r="S305" i="9"/>
  <c r="R305" i="9"/>
  <c r="U305" i="9" s="1"/>
  <c r="Q305" i="9"/>
  <c r="P305" i="9"/>
  <c r="N305" i="9"/>
  <c r="M305" i="9"/>
  <c r="L305" i="9"/>
  <c r="O305" i="9" s="1"/>
  <c r="J303" i="9"/>
  <c r="I297" i="9"/>
  <c r="K297" i="9" s="1"/>
  <c r="I296" i="9"/>
  <c r="K296" i="9" s="1"/>
  <c r="J294" i="9"/>
  <c r="J281" i="9" s="1"/>
  <c r="I294" i="9"/>
  <c r="I281" i="9" s="1"/>
  <c r="K281" i="9" s="1"/>
  <c r="I293" i="9"/>
  <c r="K293" i="9" s="1"/>
  <c r="U291" i="9"/>
  <c r="T291" i="9"/>
  <c r="N291" i="9"/>
  <c r="N289" i="9" s="1"/>
  <c r="M291" i="9"/>
  <c r="M289" i="9" s="1"/>
  <c r="P289" i="9" s="1"/>
  <c r="L291" i="9"/>
  <c r="L289" i="9" s="1"/>
  <c r="O289" i="9" s="1"/>
  <c r="U290" i="9"/>
  <c r="T290" i="9"/>
  <c r="P290" i="9"/>
  <c r="O290" i="9"/>
  <c r="S289" i="9"/>
  <c r="R289" i="9"/>
  <c r="U289" i="9" s="1"/>
  <c r="Q289" i="9"/>
  <c r="T289" i="9" s="1"/>
  <c r="U288" i="9"/>
  <c r="T288" i="9"/>
  <c r="N288" i="9"/>
  <c r="M288" i="9"/>
  <c r="L288" i="9"/>
  <c r="U287" i="9"/>
  <c r="T287" i="9"/>
  <c r="P287" i="9"/>
  <c r="O287" i="9"/>
  <c r="U286" i="9"/>
  <c r="T286" i="9"/>
  <c r="S286" i="9"/>
  <c r="R286" i="9"/>
  <c r="Q286" i="9"/>
  <c r="T285" i="9"/>
  <c r="S285" i="9"/>
  <c r="R285" i="9"/>
  <c r="U285" i="9" s="1"/>
  <c r="Q285" i="9"/>
  <c r="T284" i="9"/>
  <c r="S284" i="9"/>
  <c r="S283" i="9" s="1"/>
  <c r="R284" i="9"/>
  <c r="U284" i="9" s="1"/>
  <c r="Q284" i="9"/>
  <c r="N284" i="9"/>
  <c r="M284" i="9"/>
  <c r="L284" i="9"/>
  <c r="Q283" i="9"/>
  <c r="T283" i="9" s="1"/>
  <c r="J282" i="9"/>
  <c r="I277" i="9"/>
  <c r="K277" i="9" s="1"/>
  <c r="U275" i="9"/>
  <c r="T275" i="9"/>
  <c r="N275" i="9"/>
  <c r="N273" i="9" s="1"/>
  <c r="M275" i="9"/>
  <c r="L275" i="9"/>
  <c r="O275" i="9" s="1"/>
  <c r="U274" i="9"/>
  <c r="T274" i="9"/>
  <c r="P274" i="9"/>
  <c r="O274" i="9"/>
  <c r="U273" i="9"/>
  <c r="S273" i="9"/>
  <c r="R273" i="9"/>
  <c r="Q273" i="9"/>
  <c r="T273" i="9" s="1"/>
  <c r="S272" i="9"/>
  <c r="S270" i="9" s="1"/>
  <c r="R272" i="9"/>
  <c r="R270" i="9" s="1"/>
  <c r="Q272" i="9"/>
  <c r="Q270" i="9" s="1"/>
  <c r="N272" i="9"/>
  <c r="N270" i="9" s="1"/>
  <c r="M272" i="9"/>
  <c r="L272" i="9"/>
  <c r="L270" i="9" s="1"/>
  <c r="O270" i="9" s="1"/>
  <c r="U271" i="9"/>
  <c r="T271" i="9"/>
  <c r="P271" i="9"/>
  <c r="O271" i="9"/>
  <c r="U268" i="9"/>
  <c r="S268" i="9"/>
  <c r="R268" i="9"/>
  <c r="Q268" i="9"/>
  <c r="T268" i="9" s="1"/>
  <c r="O268" i="9"/>
  <c r="N268" i="9"/>
  <c r="M268" i="9"/>
  <c r="L268" i="9"/>
  <c r="J266" i="9"/>
  <c r="K264" i="9"/>
  <c r="K263" i="9"/>
  <c r="I261" i="9"/>
  <c r="L259" i="9"/>
  <c r="L258" i="9"/>
  <c r="L257" i="9"/>
  <c r="L256" i="9"/>
  <c r="P255" i="9"/>
  <c r="N255" i="9"/>
  <c r="N233" i="9" s="1"/>
  <c r="J254" i="9"/>
  <c r="K253" i="9"/>
  <c r="K252" i="9"/>
  <c r="I250" i="9"/>
  <c r="I243" i="9" s="1"/>
  <c r="K243" i="9" s="1"/>
  <c r="L248" i="9"/>
  <c r="L247" i="9"/>
  <c r="L246" i="9"/>
  <c r="L245" i="9"/>
  <c r="P244" i="9"/>
  <c r="N244" i="9"/>
  <c r="J243" i="9"/>
  <c r="J232" i="9" s="1"/>
  <c r="K242" i="9"/>
  <c r="J242" i="9"/>
  <c r="I242" i="9"/>
  <c r="K241" i="9"/>
  <c r="J241" i="9"/>
  <c r="I241" i="9"/>
  <c r="J239" i="9"/>
  <c r="N237" i="9"/>
  <c r="N236" i="9"/>
  <c r="N235" i="9"/>
  <c r="N234" i="9"/>
  <c r="I231" i="9"/>
  <c r="K231" i="9" s="1"/>
  <c r="I230" i="9"/>
  <c r="I222" i="9" s="1"/>
  <c r="K222" i="9" s="1"/>
  <c r="I229" i="9"/>
  <c r="K229" i="9" s="1"/>
  <c r="L226" i="9"/>
  <c r="L225" i="9"/>
  <c r="L224" i="9"/>
  <c r="P223" i="9"/>
  <c r="N223" i="9"/>
  <c r="J222" i="9"/>
  <c r="I221" i="9"/>
  <c r="I220" i="9"/>
  <c r="K220" i="9" s="1"/>
  <c r="L218" i="9"/>
  <c r="L217" i="9"/>
  <c r="L216" i="9"/>
  <c r="P215" i="9"/>
  <c r="N215" i="9"/>
  <c r="J214" i="9"/>
  <c r="I213" i="9"/>
  <c r="K213" i="9" s="1"/>
  <c r="I212" i="9"/>
  <c r="K212" i="9" s="1"/>
  <c r="I210" i="9"/>
  <c r="L208" i="9"/>
  <c r="L207" i="9"/>
  <c r="L206" i="9"/>
  <c r="L205" i="9"/>
  <c r="P204" i="9"/>
  <c r="N204" i="9"/>
  <c r="J203" i="9"/>
  <c r="J200" i="9"/>
  <c r="I199" i="9"/>
  <c r="K199" i="9" s="1"/>
  <c r="P197" i="9"/>
  <c r="L197" i="9"/>
  <c r="O197" i="9" s="1"/>
  <c r="J196" i="9"/>
  <c r="U195" i="9"/>
  <c r="T195" i="9"/>
  <c r="N195" i="9"/>
  <c r="N193" i="9" s="1"/>
  <c r="M195" i="9"/>
  <c r="L195" i="9"/>
  <c r="L193" i="9" s="1"/>
  <c r="O193" i="9" s="1"/>
  <c r="U194" i="9"/>
  <c r="T194" i="9"/>
  <c r="P194" i="9"/>
  <c r="O194" i="9"/>
  <c r="U193" i="9"/>
  <c r="S193" i="9"/>
  <c r="R193" i="9"/>
  <c r="Q193" i="9"/>
  <c r="T193" i="9" s="1"/>
  <c r="S192" i="9"/>
  <c r="S190" i="9" s="1"/>
  <c r="R192" i="9"/>
  <c r="Q192" i="9"/>
  <c r="Q190" i="9" s="1"/>
  <c r="N192" i="9"/>
  <c r="N190" i="9" s="1"/>
  <c r="M192" i="9"/>
  <c r="L192" i="9"/>
  <c r="L190" i="9" s="1"/>
  <c r="U191" i="9"/>
  <c r="T191" i="9"/>
  <c r="P191" i="9"/>
  <c r="O191" i="9"/>
  <c r="S188" i="9"/>
  <c r="R188" i="9"/>
  <c r="Q188" i="9"/>
  <c r="T188" i="9" s="1"/>
  <c r="N188" i="9"/>
  <c r="M188" i="9"/>
  <c r="L188" i="9"/>
  <c r="J186" i="9"/>
  <c r="K185" i="9"/>
  <c r="I184" i="9"/>
  <c r="K184" i="9" s="1"/>
  <c r="U182" i="9"/>
  <c r="T182" i="9"/>
  <c r="N182" i="9"/>
  <c r="N180" i="9" s="1"/>
  <c r="M182" i="9"/>
  <c r="L182" i="9"/>
  <c r="O182" i="9" s="1"/>
  <c r="U181" i="9"/>
  <c r="T181" i="9"/>
  <c r="P181" i="9"/>
  <c r="O181" i="9"/>
  <c r="T180" i="9"/>
  <c r="S180" i="9"/>
  <c r="R180" i="9"/>
  <c r="U180" i="9" s="1"/>
  <c r="Q180" i="9"/>
  <c r="S179" i="9"/>
  <c r="S177" i="9" s="1"/>
  <c r="R179" i="9"/>
  <c r="U179" i="9" s="1"/>
  <c r="Q179" i="9"/>
  <c r="N179" i="9"/>
  <c r="M179" i="9"/>
  <c r="M177" i="9" s="1"/>
  <c r="L179" i="9"/>
  <c r="U178" i="9"/>
  <c r="T178" i="9"/>
  <c r="P178" i="9"/>
  <c r="O178" i="9"/>
  <c r="U175" i="9"/>
  <c r="T175" i="9"/>
  <c r="S175" i="9"/>
  <c r="R175" i="9"/>
  <c r="Q175" i="9"/>
  <c r="P175" i="9"/>
  <c r="O175" i="9"/>
  <c r="N175" i="9"/>
  <c r="M175" i="9"/>
  <c r="L175" i="9"/>
  <c r="J173" i="9"/>
  <c r="I170" i="9"/>
  <c r="I169" i="9"/>
  <c r="K169" i="9" s="1"/>
  <c r="I168" i="9"/>
  <c r="K168" i="9" s="1"/>
  <c r="U166" i="9"/>
  <c r="T166" i="9"/>
  <c r="N166" i="9"/>
  <c r="N164" i="9" s="1"/>
  <c r="M166" i="9"/>
  <c r="M164" i="9" s="1"/>
  <c r="P164" i="9" s="1"/>
  <c r="L166" i="9"/>
  <c r="U165" i="9"/>
  <c r="T165" i="9"/>
  <c r="P165" i="9"/>
  <c r="O165" i="9"/>
  <c r="S164" i="9"/>
  <c r="R164" i="9"/>
  <c r="U164" i="9" s="1"/>
  <c r="Q164" i="9"/>
  <c r="T164" i="9" s="1"/>
  <c r="S163" i="9"/>
  <c r="S161" i="9" s="1"/>
  <c r="R163" i="9"/>
  <c r="U163" i="9" s="1"/>
  <c r="N163" i="9"/>
  <c r="M163" i="9"/>
  <c r="M161" i="9" s="1"/>
  <c r="P161" i="9" s="1"/>
  <c r="L163" i="9"/>
  <c r="U162" i="9"/>
  <c r="T162" i="9"/>
  <c r="P162" i="9"/>
  <c r="O162" i="9"/>
  <c r="U159" i="9"/>
  <c r="S159" i="9"/>
  <c r="R159" i="9"/>
  <c r="Q159" i="9"/>
  <c r="T159" i="9" s="1"/>
  <c r="O159" i="9"/>
  <c r="N159" i="9"/>
  <c r="M159" i="9"/>
  <c r="P159" i="9" s="1"/>
  <c r="L159" i="9"/>
  <c r="J157" i="9"/>
  <c r="I155" i="9"/>
  <c r="I154" i="9"/>
  <c r="K154" i="9" s="1"/>
  <c r="I153" i="9"/>
  <c r="K153" i="9" s="1"/>
  <c r="I152" i="9"/>
  <c r="K152" i="9" s="1"/>
  <c r="I151" i="9"/>
  <c r="K151" i="9" s="1"/>
  <c r="U148" i="9"/>
  <c r="T148" i="9"/>
  <c r="N148" i="9"/>
  <c r="N146" i="9" s="1"/>
  <c r="M148" i="9"/>
  <c r="L148" i="9"/>
  <c r="U147" i="9"/>
  <c r="T147" i="9"/>
  <c r="P147" i="9"/>
  <c r="O147" i="9"/>
  <c r="S146" i="9"/>
  <c r="R146" i="9"/>
  <c r="U146" i="9" s="1"/>
  <c r="Q146" i="9"/>
  <c r="T146" i="9" s="1"/>
  <c r="S145" i="9"/>
  <c r="S143" i="9" s="1"/>
  <c r="R145" i="9"/>
  <c r="U145" i="9" s="1"/>
  <c r="Q145" i="9"/>
  <c r="Q142" i="9" s="1"/>
  <c r="N145" i="9"/>
  <c r="N143" i="9" s="1"/>
  <c r="M145" i="9"/>
  <c r="M143" i="9" s="1"/>
  <c r="P143" i="9" s="1"/>
  <c r="L145" i="9"/>
  <c r="O145" i="9" s="1"/>
  <c r="U144" i="9"/>
  <c r="T144" i="9"/>
  <c r="P144" i="9"/>
  <c r="O144" i="9"/>
  <c r="T141" i="9"/>
  <c r="S141" i="9"/>
  <c r="R141" i="9"/>
  <c r="U141" i="9" s="1"/>
  <c r="Q141" i="9"/>
  <c r="N141" i="9"/>
  <c r="M141" i="9"/>
  <c r="L141" i="9"/>
  <c r="O141" i="9" s="1"/>
  <c r="J139" i="9"/>
  <c r="J138" i="9"/>
  <c r="J137" i="9"/>
  <c r="I131" i="9"/>
  <c r="K131" i="9" s="1"/>
  <c r="I130" i="9"/>
  <c r="K130" i="9" s="1"/>
  <c r="I129" i="9"/>
  <c r="K129" i="9" s="1"/>
  <c r="I128" i="9"/>
  <c r="K128" i="9" s="1"/>
  <c r="U126" i="9"/>
  <c r="T126" i="9"/>
  <c r="N126" i="9"/>
  <c r="M126" i="9"/>
  <c r="L126" i="9"/>
  <c r="O126" i="9" s="1"/>
  <c r="U125" i="9"/>
  <c r="T125" i="9"/>
  <c r="P125" i="9"/>
  <c r="O125" i="9"/>
  <c r="T124" i="9"/>
  <c r="S124" i="9"/>
  <c r="R124" i="9"/>
  <c r="U124" i="9" s="1"/>
  <c r="Q124" i="9"/>
  <c r="S123" i="9"/>
  <c r="S121" i="9" s="1"/>
  <c r="R123" i="9"/>
  <c r="Q123" i="9"/>
  <c r="Q120" i="9" s="1"/>
  <c r="N123" i="9"/>
  <c r="N121" i="9" s="1"/>
  <c r="M123" i="9"/>
  <c r="M121" i="9" s="1"/>
  <c r="P121" i="9" s="1"/>
  <c r="L123" i="9"/>
  <c r="O123" i="9" s="1"/>
  <c r="U122" i="9"/>
  <c r="T122" i="9"/>
  <c r="P122" i="9"/>
  <c r="O122" i="9"/>
  <c r="S119" i="9"/>
  <c r="R119" i="9"/>
  <c r="U119" i="9" s="1"/>
  <c r="Q119" i="9"/>
  <c r="T119" i="9" s="1"/>
  <c r="P119" i="9"/>
  <c r="N119" i="9"/>
  <c r="M119" i="9"/>
  <c r="L119" i="9"/>
  <c r="O119" i="9" s="1"/>
  <c r="J117" i="9"/>
  <c r="I115" i="9"/>
  <c r="K115" i="9" s="1"/>
  <c r="I114" i="9"/>
  <c r="K114" i="9" s="1"/>
  <c r="I110" i="9"/>
  <c r="I109" i="9"/>
  <c r="I93" i="9" s="1"/>
  <c r="K93" i="9" s="1"/>
  <c r="U103" i="9"/>
  <c r="T103" i="9"/>
  <c r="N103" i="9"/>
  <c r="N101" i="9" s="1"/>
  <c r="M103" i="9"/>
  <c r="L103" i="9"/>
  <c r="L101" i="9" s="1"/>
  <c r="O101" i="9" s="1"/>
  <c r="U102" i="9"/>
  <c r="T102" i="9"/>
  <c r="P102" i="9"/>
  <c r="O102" i="9"/>
  <c r="S101" i="9"/>
  <c r="R101" i="9"/>
  <c r="U101" i="9" s="1"/>
  <c r="Q101" i="9"/>
  <c r="T101" i="9" s="1"/>
  <c r="S100" i="9"/>
  <c r="S97" i="9" s="1"/>
  <c r="R100" i="9"/>
  <c r="R98" i="9" s="1"/>
  <c r="Q100" i="9"/>
  <c r="N100" i="9"/>
  <c r="N98" i="9" s="1"/>
  <c r="M100" i="9"/>
  <c r="L100" i="9"/>
  <c r="L98" i="9" s="1"/>
  <c r="O98" i="9" s="1"/>
  <c r="U99" i="9"/>
  <c r="T99" i="9"/>
  <c r="P99" i="9"/>
  <c r="O99" i="9"/>
  <c r="S96" i="9"/>
  <c r="R96" i="9"/>
  <c r="U96" i="9" s="1"/>
  <c r="Q96" i="9"/>
  <c r="T96" i="9" s="1"/>
  <c r="N96" i="9"/>
  <c r="M96" i="9"/>
  <c r="L96" i="9"/>
  <c r="O96" i="9" s="1"/>
  <c r="J94" i="9"/>
  <c r="J93" i="9"/>
  <c r="I91" i="9"/>
  <c r="K91" i="9" s="1"/>
  <c r="I90" i="9"/>
  <c r="K90" i="9" s="1"/>
  <c r="I89" i="9"/>
  <c r="K89" i="9" s="1"/>
  <c r="I88" i="9"/>
  <c r="K88" i="9" s="1"/>
  <c r="I87" i="9"/>
  <c r="K87" i="9" s="1"/>
  <c r="I86" i="9"/>
  <c r="K86" i="9" s="1"/>
  <c r="I85" i="9"/>
  <c r="J84" i="9"/>
  <c r="J83" i="9"/>
  <c r="J71" i="9" s="1"/>
  <c r="U81" i="9"/>
  <c r="T81" i="9"/>
  <c r="N81" i="9"/>
  <c r="N79" i="9" s="1"/>
  <c r="M81" i="9"/>
  <c r="M79" i="9" s="1"/>
  <c r="P79" i="9" s="1"/>
  <c r="L81" i="9"/>
  <c r="O81" i="9" s="1"/>
  <c r="U80" i="9"/>
  <c r="T80" i="9"/>
  <c r="P80" i="9"/>
  <c r="O80" i="9"/>
  <c r="S79" i="9"/>
  <c r="R79" i="9"/>
  <c r="U79" i="9" s="1"/>
  <c r="Q79" i="9"/>
  <c r="T79" i="9" s="1"/>
  <c r="S78" i="9"/>
  <c r="S76" i="9" s="1"/>
  <c r="R78" i="9"/>
  <c r="U78" i="9" s="1"/>
  <c r="Q75" i="9"/>
  <c r="T75" i="9" s="1"/>
  <c r="N78" i="9"/>
  <c r="N76" i="9" s="1"/>
  <c r="M78" i="9"/>
  <c r="M76" i="9" s="1"/>
  <c r="P76" i="9" s="1"/>
  <c r="L78" i="9"/>
  <c r="U77" i="9"/>
  <c r="T77" i="9"/>
  <c r="P77" i="9"/>
  <c r="O77" i="9"/>
  <c r="S74" i="9"/>
  <c r="R74" i="9"/>
  <c r="Q74" i="9"/>
  <c r="T74" i="9" s="1"/>
  <c r="N74" i="9"/>
  <c r="M74" i="9"/>
  <c r="P74" i="9" s="1"/>
  <c r="L74" i="9"/>
  <c r="J72" i="9"/>
  <c r="U68" i="9"/>
  <c r="T68" i="9"/>
  <c r="N68" i="9"/>
  <c r="N66" i="9" s="1"/>
  <c r="M68" i="9"/>
  <c r="P68" i="9" s="1"/>
  <c r="L68" i="9"/>
  <c r="O68" i="9" s="1"/>
  <c r="U67" i="9"/>
  <c r="T67" i="9"/>
  <c r="P67" i="9"/>
  <c r="O67" i="9"/>
  <c r="T66" i="9"/>
  <c r="S66" i="9"/>
  <c r="R66" i="9"/>
  <c r="U66" i="9" s="1"/>
  <c r="Q66" i="9"/>
  <c r="U65" i="9"/>
  <c r="T65" i="9"/>
  <c r="N65" i="9"/>
  <c r="M65" i="9"/>
  <c r="M63" i="9" s="1"/>
  <c r="L65" i="9"/>
  <c r="L63" i="9" s="1"/>
  <c r="U64" i="9"/>
  <c r="T64" i="9"/>
  <c r="P64" i="9"/>
  <c r="O64" i="9"/>
  <c r="U63" i="9"/>
  <c r="S63" i="9"/>
  <c r="R63" i="9"/>
  <c r="Q63" i="9"/>
  <c r="T63" i="9" s="1"/>
  <c r="U62" i="9"/>
  <c r="T62" i="9"/>
  <c r="S62" i="9"/>
  <c r="R62" i="9"/>
  <c r="Q62" i="9"/>
  <c r="S61" i="9"/>
  <c r="R61" i="9"/>
  <c r="Q61" i="9"/>
  <c r="T61" i="9" s="1"/>
  <c r="N61" i="9"/>
  <c r="M61" i="9"/>
  <c r="P61" i="9" s="1"/>
  <c r="L61" i="9"/>
  <c r="S60" i="9"/>
  <c r="U53" i="9"/>
  <c r="T53" i="9"/>
  <c r="N53" i="9"/>
  <c r="N51" i="9" s="1"/>
  <c r="M53" i="9"/>
  <c r="P53" i="9" s="1"/>
  <c r="L53" i="9"/>
  <c r="O53" i="9" s="1"/>
  <c r="U52" i="9"/>
  <c r="T52" i="9"/>
  <c r="P52" i="9"/>
  <c r="O52" i="9"/>
  <c r="T51" i="9"/>
  <c r="S51" i="9"/>
  <c r="R51" i="9"/>
  <c r="U51" i="9" s="1"/>
  <c r="Q51" i="9"/>
  <c r="U50" i="9"/>
  <c r="T50" i="9"/>
  <c r="N50" i="9"/>
  <c r="M50" i="9"/>
  <c r="L50" i="9"/>
  <c r="U49" i="9"/>
  <c r="T49" i="9"/>
  <c r="P49" i="9"/>
  <c r="O49" i="9"/>
  <c r="U48" i="9"/>
  <c r="S48" i="9"/>
  <c r="R48" i="9"/>
  <c r="Q48" i="9"/>
  <c r="T48" i="9" s="1"/>
  <c r="U47" i="9"/>
  <c r="T47" i="9"/>
  <c r="S47" i="9"/>
  <c r="R47" i="9"/>
  <c r="Q47" i="9"/>
  <c r="S46" i="9"/>
  <c r="R46" i="9"/>
  <c r="Q46" i="9"/>
  <c r="T46" i="9" s="1"/>
  <c r="N46" i="9"/>
  <c r="M46" i="9"/>
  <c r="P46" i="9" s="1"/>
  <c r="L46" i="9"/>
  <c r="S45" i="9"/>
  <c r="S27" i="9"/>
  <c r="R27" i="9"/>
  <c r="U27" i="9" s="1"/>
  <c r="Q27" i="9"/>
  <c r="T27" i="9" s="1"/>
  <c r="S26" i="9"/>
  <c r="R26" i="9"/>
  <c r="U26" i="9" s="1"/>
  <c r="Q26" i="9"/>
  <c r="N26" i="9"/>
  <c r="M26" i="9"/>
  <c r="P26" i="9" s="1"/>
  <c r="L26" i="9"/>
  <c r="O26" i="9" s="1"/>
  <c r="S23" i="9"/>
  <c r="S20" i="9" s="1"/>
  <c r="R23" i="9"/>
  <c r="U23" i="9" s="1"/>
  <c r="Q23" i="9"/>
  <c r="N23" i="9"/>
  <c r="N20" i="9" s="1"/>
  <c r="M23" i="9"/>
  <c r="P23" i="9" s="1"/>
  <c r="L23" i="9"/>
  <c r="O23" i="9" s="1"/>
  <c r="A788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H777" i="8"/>
  <c r="I776" i="8"/>
  <c r="I775" i="8"/>
  <c r="I774" i="8"/>
  <c r="I772" i="8"/>
  <c r="K772" i="8" s="1"/>
  <c r="I770" i="8"/>
  <c r="K770" i="8" s="1"/>
  <c r="U768" i="8"/>
  <c r="T768" i="8"/>
  <c r="P768" i="8"/>
  <c r="O768" i="8"/>
  <c r="U767" i="8"/>
  <c r="T767" i="8"/>
  <c r="P767" i="8"/>
  <c r="O767" i="8"/>
  <c r="U766" i="8"/>
  <c r="T766" i="8"/>
  <c r="S766" i="8"/>
  <c r="R766" i="8"/>
  <c r="Q766" i="8"/>
  <c r="P766" i="8"/>
  <c r="O766" i="8"/>
  <c r="N766" i="8"/>
  <c r="M766" i="8"/>
  <c r="L766" i="8"/>
  <c r="S765" i="8"/>
  <c r="S762" i="8" s="1"/>
  <c r="S760" i="8" s="1"/>
  <c r="R765" i="8"/>
  <c r="R763" i="8" s="1"/>
  <c r="Q765" i="8"/>
  <c r="Q763" i="8" s="1"/>
  <c r="P765" i="8"/>
  <c r="O765" i="8"/>
  <c r="U764" i="8"/>
  <c r="T764" i="8"/>
  <c r="P764" i="8"/>
  <c r="O764" i="8"/>
  <c r="N763" i="8"/>
  <c r="M763" i="8"/>
  <c r="P763" i="8" s="1"/>
  <c r="L763" i="8"/>
  <c r="O763" i="8" s="1"/>
  <c r="P762" i="8"/>
  <c r="O762" i="8"/>
  <c r="N762" i="8"/>
  <c r="M762" i="8"/>
  <c r="L762" i="8"/>
  <c r="U761" i="8"/>
  <c r="T761" i="8"/>
  <c r="S761" i="8"/>
  <c r="R761" i="8"/>
  <c r="Q761" i="8"/>
  <c r="O761" i="8"/>
  <c r="N761" i="8"/>
  <c r="N760" i="8" s="1"/>
  <c r="M761" i="8"/>
  <c r="P761" i="8" s="1"/>
  <c r="L761" i="8"/>
  <c r="M760" i="8"/>
  <c r="P760" i="8" s="1"/>
  <c r="L760" i="8"/>
  <c r="O760" i="8" s="1"/>
  <c r="J759" i="8"/>
  <c r="J758" i="8"/>
  <c r="I756" i="8"/>
  <c r="K756" i="8" s="1"/>
  <c r="I753" i="8"/>
  <c r="K753" i="8" s="1"/>
  <c r="I750" i="8"/>
  <c r="K750" i="8" s="1"/>
  <c r="I747" i="8"/>
  <c r="K747" i="8" s="1"/>
  <c r="I745" i="8"/>
  <c r="K745" i="8" s="1"/>
  <c r="I743" i="8"/>
  <c r="K743" i="8" s="1"/>
  <c r="I741" i="8"/>
  <c r="K741" i="8" s="1"/>
  <c r="U737" i="8"/>
  <c r="T737" i="8"/>
  <c r="P737" i="8"/>
  <c r="O737" i="8"/>
  <c r="U736" i="8"/>
  <c r="T736" i="8"/>
  <c r="P736" i="8"/>
  <c r="O736" i="8"/>
  <c r="U735" i="8"/>
  <c r="T735" i="8"/>
  <c r="S735" i="8"/>
  <c r="R735" i="8"/>
  <c r="Q735" i="8"/>
  <c r="O735" i="8"/>
  <c r="N735" i="8"/>
  <c r="M735" i="8"/>
  <c r="P735" i="8" s="1"/>
  <c r="L735" i="8"/>
  <c r="S734" i="8"/>
  <c r="R734" i="8"/>
  <c r="R732" i="8" s="1"/>
  <c r="Q734" i="8"/>
  <c r="Q732" i="8" s="1"/>
  <c r="P734" i="8"/>
  <c r="O734" i="8"/>
  <c r="U733" i="8"/>
  <c r="T733" i="8"/>
  <c r="P733" i="8"/>
  <c r="O733" i="8"/>
  <c r="P732" i="8"/>
  <c r="N732" i="8"/>
  <c r="M732" i="8"/>
  <c r="L732" i="8"/>
  <c r="O732" i="8" s="1"/>
  <c r="P731" i="8"/>
  <c r="O731" i="8"/>
  <c r="N731" i="8"/>
  <c r="M731" i="8"/>
  <c r="L731" i="8"/>
  <c r="T730" i="8"/>
  <c r="S730" i="8"/>
  <c r="R730" i="8"/>
  <c r="U730" i="8" s="1"/>
  <c r="Q730" i="8"/>
  <c r="N730" i="8"/>
  <c r="N729" i="8" s="1"/>
  <c r="M730" i="8"/>
  <c r="P730" i="8" s="1"/>
  <c r="L730" i="8"/>
  <c r="O730" i="8" s="1"/>
  <c r="L729" i="8"/>
  <c r="O729" i="8" s="1"/>
  <c r="J728" i="8"/>
  <c r="I728" i="8"/>
  <c r="J727" i="8"/>
  <c r="I727" i="8"/>
  <c r="K727" i="8" s="1"/>
  <c r="U723" i="8"/>
  <c r="T723" i="8"/>
  <c r="P723" i="8"/>
  <c r="O723" i="8"/>
  <c r="U722" i="8"/>
  <c r="T722" i="8"/>
  <c r="P722" i="8"/>
  <c r="O722" i="8"/>
  <c r="S721" i="8"/>
  <c r="R721" i="8"/>
  <c r="U721" i="8" s="1"/>
  <c r="Q721" i="8"/>
  <c r="T721" i="8" s="1"/>
  <c r="P721" i="8"/>
  <c r="N721" i="8"/>
  <c r="M721" i="8"/>
  <c r="L721" i="8"/>
  <c r="O721" i="8" s="1"/>
  <c r="U720" i="8"/>
  <c r="T720" i="8"/>
  <c r="P720" i="8"/>
  <c r="O720" i="8"/>
  <c r="U719" i="8"/>
  <c r="T719" i="8"/>
  <c r="P719" i="8"/>
  <c r="O719" i="8"/>
  <c r="S718" i="8"/>
  <c r="R718" i="8"/>
  <c r="U718" i="8" s="1"/>
  <c r="Q718" i="8"/>
  <c r="T718" i="8" s="1"/>
  <c r="P718" i="8"/>
  <c r="N718" i="8"/>
  <c r="M718" i="8"/>
  <c r="L718" i="8"/>
  <c r="O718" i="8" s="1"/>
  <c r="U717" i="8"/>
  <c r="T717" i="8"/>
  <c r="S717" i="8"/>
  <c r="R717" i="8"/>
  <c r="Q717" i="8"/>
  <c r="P717" i="8"/>
  <c r="O717" i="8"/>
  <c r="N717" i="8"/>
  <c r="M717" i="8"/>
  <c r="L717" i="8"/>
  <c r="T716" i="8"/>
  <c r="S716" i="8"/>
  <c r="S715" i="8" s="1"/>
  <c r="R716" i="8"/>
  <c r="U716" i="8" s="1"/>
  <c r="Q716" i="8"/>
  <c r="N716" i="8"/>
  <c r="N715" i="8" s="1"/>
  <c r="M716" i="8"/>
  <c r="P716" i="8" s="1"/>
  <c r="L716" i="8"/>
  <c r="O716" i="8" s="1"/>
  <c r="R715" i="8"/>
  <c r="U715" i="8" s="1"/>
  <c r="Q715" i="8"/>
  <c r="T715" i="8" s="1"/>
  <c r="L715" i="8"/>
  <c r="O715" i="8" s="1"/>
  <c r="K713" i="8"/>
  <c r="J713" i="8"/>
  <c r="K711" i="8"/>
  <c r="J711" i="8"/>
  <c r="J710" i="8"/>
  <c r="I710" i="8"/>
  <c r="K709" i="8"/>
  <c r="J709" i="8"/>
  <c r="J708" i="8"/>
  <c r="J690" i="8" s="1"/>
  <c r="I708" i="8"/>
  <c r="K707" i="8"/>
  <c r="J707" i="8"/>
  <c r="J706" i="8"/>
  <c r="I706" i="8"/>
  <c r="K705" i="8"/>
  <c r="J705" i="8"/>
  <c r="J704" i="8"/>
  <c r="I704" i="8"/>
  <c r="K703" i="8"/>
  <c r="I701" i="8"/>
  <c r="K701" i="8" s="1"/>
  <c r="U699" i="8"/>
  <c r="T699" i="8"/>
  <c r="P699" i="8"/>
  <c r="O699" i="8"/>
  <c r="U698" i="8"/>
  <c r="T698" i="8"/>
  <c r="P698" i="8"/>
  <c r="O698" i="8"/>
  <c r="U697" i="8"/>
  <c r="S697" i="8"/>
  <c r="R697" i="8"/>
  <c r="Q697" i="8"/>
  <c r="T697" i="8" s="1"/>
  <c r="P697" i="8"/>
  <c r="O697" i="8"/>
  <c r="N697" i="8"/>
  <c r="M697" i="8"/>
  <c r="L697" i="8"/>
  <c r="S696" i="8"/>
  <c r="R696" i="8"/>
  <c r="R694" i="8" s="1"/>
  <c r="Q696" i="8"/>
  <c r="Q693" i="8" s="1"/>
  <c r="Q691" i="8" s="1"/>
  <c r="P696" i="8"/>
  <c r="O696" i="8"/>
  <c r="U695" i="8"/>
  <c r="T695" i="8"/>
  <c r="P695" i="8"/>
  <c r="O695" i="8"/>
  <c r="N694" i="8"/>
  <c r="M694" i="8"/>
  <c r="P694" i="8" s="1"/>
  <c r="L694" i="8"/>
  <c r="O694" i="8" s="1"/>
  <c r="P693" i="8"/>
  <c r="N693" i="8"/>
  <c r="M693" i="8"/>
  <c r="L693" i="8"/>
  <c r="U692" i="8"/>
  <c r="T692" i="8"/>
  <c r="S692" i="8"/>
  <c r="R692" i="8"/>
  <c r="Q692" i="8"/>
  <c r="P692" i="8"/>
  <c r="O692" i="8"/>
  <c r="N692" i="8"/>
  <c r="M692" i="8"/>
  <c r="L692" i="8"/>
  <c r="N691" i="8"/>
  <c r="M691" i="8"/>
  <c r="P691" i="8" s="1"/>
  <c r="J683" i="8"/>
  <c r="I683" i="8"/>
  <c r="K683" i="8" s="1"/>
  <c r="J682" i="8"/>
  <c r="I682" i="8"/>
  <c r="K682" i="8" s="1"/>
  <c r="J681" i="8"/>
  <c r="J680" i="8"/>
  <c r="I680" i="8"/>
  <c r="K680" i="8" s="1"/>
  <c r="J679" i="8"/>
  <c r="I679" i="8"/>
  <c r="K679" i="8" s="1"/>
  <c r="J678" i="8"/>
  <c r="J677" i="8"/>
  <c r="I677" i="8"/>
  <c r="K677" i="8" s="1"/>
  <c r="I676" i="8"/>
  <c r="K676" i="8" s="1"/>
  <c r="I675" i="8"/>
  <c r="K675" i="8" s="1"/>
  <c r="J674" i="8"/>
  <c r="I674" i="8"/>
  <c r="K674" i="8" s="1"/>
  <c r="J673" i="8"/>
  <c r="J672" i="8"/>
  <c r="J662" i="8"/>
  <c r="I662" i="8"/>
  <c r="K662" i="8" s="1"/>
  <c r="I661" i="8"/>
  <c r="I658" i="8"/>
  <c r="J655" i="8"/>
  <c r="I655" i="8"/>
  <c r="J654" i="8"/>
  <c r="I654" i="8"/>
  <c r="J653" i="8"/>
  <c r="I653" i="8"/>
  <c r="K653" i="8" s="1"/>
  <c r="U651" i="8"/>
  <c r="T651" i="8"/>
  <c r="P651" i="8"/>
  <c r="O651" i="8"/>
  <c r="U650" i="8"/>
  <c r="T650" i="8"/>
  <c r="P650" i="8"/>
  <c r="O650" i="8"/>
  <c r="U649" i="8"/>
  <c r="S649" i="8"/>
  <c r="R649" i="8"/>
  <c r="Q649" i="8"/>
  <c r="T649" i="8" s="1"/>
  <c r="P649" i="8"/>
  <c r="O649" i="8"/>
  <c r="N649" i="8"/>
  <c r="M649" i="8"/>
  <c r="L649" i="8"/>
  <c r="S648" i="8"/>
  <c r="S645" i="8" s="1"/>
  <c r="R648" i="8"/>
  <c r="R646" i="8" s="1"/>
  <c r="Q648" i="8"/>
  <c r="Q645" i="8" s="1"/>
  <c r="P648" i="8"/>
  <c r="O648" i="8"/>
  <c r="U647" i="8"/>
  <c r="T647" i="8"/>
  <c r="P647" i="8"/>
  <c r="O647" i="8"/>
  <c r="N646" i="8"/>
  <c r="M646" i="8"/>
  <c r="P646" i="8" s="1"/>
  <c r="L646" i="8"/>
  <c r="O646" i="8" s="1"/>
  <c r="P645" i="8"/>
  <c r="O645" i="8"/>
  <c r="N645" i="8"/>
  <c r="M645" i="8"/>
  <c r="L645" i="8"/>
  <c r="T644" i="8"/>
  <c r="S644" i="8"/>
  <c r="R644" i="8"/>
  <c r="Q644" i="8"/>
  <c r="N644" i="8"/>
  <c r="N643" i="8" s="1"/>
  <c r="M644" i="8"/>
  <c r="L644" i="8"/>
  <c r="J637" i="8"/>
  <c r="J636" i="8" s="1"/>
  <c r="I636" i="8"/>
  <c r="K636" i="8" s="1"/>
  <c r="J633" i="8"/>
  <c r="J627" i="8" s="1"/>
  <c r="J616" i="8" s="1"/>
  <c r="I629" i="8"/>
  <c r="K629" i="8" s="1"/>
  <c r="I628" i="8"/>
  <c r="K628" i="8" s="1"/>
  <c r="I627" i="8"/>
  <c r="K630" i="8" s="1"/>
  <c r="U625" i="8"/>
  <c r="T625" i="8"/>
  <c r="P625" i="8"/>
  <c r="O625" i="8"/>
  <c r="U624" i="8"/>
  <c r="T624" i="8"/>
  <c r="P624" i="8"/>
  <c r="O624" i="8"/>
  <c r="U623" i="8"/>
  <c r="S623" i="8"/>
  <c r="R623" i="8"/>
  <c r="Q623" i="8"/>
  <c r="T623" i="8" s="1"/>
  <c r="P623" i="8"/>
  <c r="O623" i="8"/>
  <c r="N623" i="8"/>
  <c r="M623" i="8"/>
  <c r="L623" i="8"/>
  <c r="S622" i="8"/>
  <c r="S619" i="8" s="1"/>
  <c r="R622" i="8"/>
  <c r="R619" i="8" s="1"/>
  <c r="R617" i="8" s="1"/>
  <c r="Q622" i="8"/>
  <c r="P622" i="8"/>
  <c r="O622" i="8"/>
  <c r="U621" i="8"/>
  <c r="T621" i="8"/>
  <c r="P621" i="8"/>
  <c r="O621" i="8"/>
  <c r="N620" i="8"/>
  <c r="M620" i="8"/>
  <c r="P620" i="8" s="1"/>
  <c r="L620" i="8"/>
  <c r="O620" i="8" s="1"/>
  <c r="P619" i="8"/>
  <c r="O619" i="8"/>
  <c r="N619" i="8"/>
  <c r="M619" i="8"/>
  <c r="L619" i="8"/>
  <c r="L617" i="8" s="1"/>
  <c r="U618" i="8"/>
  <c r="T618" i="8"/>
  <c r="S618" i="8"/>
  <c r="R618" i="8"/>
  <c r="Q618" i="8"/>
  <c r="O618" i="8"/>
  <c r="N618" i="8"/>
  <c r="N617" i="8" s="1"/>
  <c r="M618" i="8"/>
  <c r="L618" i="8"/>
  <c r="O617" i="8"/>
  <c r="U608" i="8"/>
  <c r="T608" i="8"/>
  <c r="P608" i="8"/>
  <c r="O608" i="8"/>
  <c r="U607" i="8"/>
  <c r="T607" i="8"/>
  <c r="P607" i="8"/>
  <c r="O607" i="8"/>
  <c r="S606" i="8"/>
  <c r="R606" i="8"/>
  <c r="U606" i="8" s="1"/>
  <c r="Q606" i="8"/>
  <c r="T606" i="8" s="1"/>
  <c r="P606" i="8"/>
  <c r="N606" i="8"/>
  <c r="M606" i="8"/>
  <c r="L606" i="8"/>
  <c r="O606" i="8" s="1"/>
  <c r="U605" i="8"/>
  <c r="T605" i="8"/>
  <c r="P605" i="8"/>
  <c r="O605" i="8"/>
  <c r="U604" i="8"/>
  <c r="T604" i="8"/>
  <c r="P604" i="8"/>
  <c r="O604" i="8"/>
  <c r="S603" i="8"/>
  <c r="R603" i="8"/>
  <c r="U603" i="8" s="1"/>
  <c r="Q603" i="8"/>
  <c r="T603" i="8" s="1"/>
  <c r="P603" i="8"/>
  <c r="N603" i="8"/>
  <c r="M603" i="8"/>
  <c r="L603" i="8"/>
  <c r="O603" i="8" s="1"/>
  <c r="U602" i="8"/>
  <c r="T602" i="8"/>
  <c r="S602" i="8"/>
  <c r="R602" i="8"/>
  <c r="Q602" i="8"/>
  <c r="P602" i="8"/>
  <c r="O602" i="8"/>
  <c r="N602" i="8"/>
  <c r="M602" i="8"/>
  <c r="L602" i="8"/>
  <c r="T601" i="8"/>
  <c r="S601" i="8"/>
  <c r="S600" i="8" s="1"/>
  <c r="R601" i="8"/>
  <c r="Q601" i="8"/>
  <c r="N601" i="8"/>
  <c r="M601" i="8"/>
  <c r="L601" i="8"/>
  <c r="Q600" i="8"/>
  <c r="T600" i="8" s="1"/>
  <c r="N600" i="8"/>
  <c r="U585" i="8"/>
  <c r="T585" i="8"/>
  <c r="P585" i="8"/>
  <c r="O585" i="8"/>
  <c r="U584" i="8"/>
  <c r="T584" i="8"/>
  <c r="P584" i="8"/>
  <c r="O584" i="8"/>
  <c r="U583" i="8"/>
  <c r="T583" i="8"/>
  <c r="S583" i="8"/>
  <c r="R583" i="8"/>
  <c r="Q583" i="8"/>
  <c r="P583" i="8"/>
  <c r="O583" i="8"/>
  <c r="N583" i="8"/>
  <c r="M583" i="8"/>
  <c r="L583" i="8"/>
  <c r="U582" i="8"/>
  <c r="T582" i="8"/>
  <c r="P582" i="8"/>
  <c r="O582" i="8"/>
  <c r="U581" i="8"/>
  <c r="T581" i="8"/>
  <c r="P581" i="8"/>
  <c r="O581" i="8"/>
  <c r="U580" i="8"/>
  <c r="T580" i="8"/>
  <c r="S580" i="8"/>
  <c r="R580" i="8"/>
  <c r="Q580" i="8"/>
  <c r="P580" i="8"/>
  <c r="O580" i="8"/>
  <c r="N580" i="8"/>
  <c r="M580" i="8"/>
  <c r="L580" i="8"/>
  <c r="T579" i="8"/>
  <c r="S579" i="8"/>
  <c r="R579" i="8"/>
  <c r="U579" i="8" s="1"/>
  <c r="Q579" i="8"/>
  <c r="N579" i="8"/>
  <c r="M579" i="8"/>
  <c r="P579" i="8" s="1"/>
  <c r="L579" i="8"/>
  <c r="T578" i="8"/>
  <c r="S578" i="8"/>
  <c r="R578" i="8"/>
  <c r="U578" i="8" s="1"/>
  <c r="Q578" i="8"/>
  <c r="N578" i="8"/>
  <c r="N577" i="8" s="1"/>
  <c r="M578" i="8"/>
  <c r="L578" i="8"/>
  <c r="O578" i="8" s="1"/>
  <c r="R577" i="8"/>
  <c r="U577" i="8" s="1"/>
  <c r="Q577" i="8"/>
  <c r="T577" i="8" s="1"/>
  <c r="K576" i="8"/>
  <c r="J576" i="8"/>
  <c r="I576" i="8"/>
  <c r="U564" i="8"/>
  <c r="T564" i="8"/>
  <c r="P564" i="8"/>
  <c r="O564" i="8"/>
  <c r="U563" i="8"/>
  <c r="T563" i="8"/>
  <c r="P563" i="8"/>
  <c r="O563" i="8"/>
  <c r="T562" i="8"/>
  <c r="S562" i="8"/>
  <c r="R562" i="8"/>
  <c r="U562" i="8" s="1"/>
  <c r="Q562" i="8"/>
  <c r="N562" i="8"/>
  <c r="M562" i="8"/>
  <c r="P562" i="8" s="1"/>
  <c r="L562" i="8"/>
  <c r="O562" i="8" s="1"/>
  <c r="U561" i="8"/>
  <c r="T561" i="8"/>
  <c r="P561" i="8"/>
  <c r="O561" i="8"/>
  <c r="U560" i="8"/>
  <c r="T560" i="8"/>
  <c r="P560" i="8"/>
  <c r="O560" i="8"/>
  <c r="S559" i="8"/>
  <c r="R559" i="8"/>
  <c r="U559" i="8" s="1"/>
  <c r="Q559" i="8"/>
  <c r="T559" i="8" s="1"/>
  <c r="N559" i="8"/>
  <c r="M559" i="8"/>
  <c r="P559" i="8" s="1"/>
  <c r="L559" i="8"/>
  <c r="O559" i="8" s="1"/>
  <c r="U558" i="8"/>
  <c r="S558" i="8"/>
  <c r="R558" i="8"/>
  <c r="Q558" i="8"/>
  <c r="T558" i="8" s="1"/>
  <c r="O558" i="8"/>
  <c r="N558" i="8"/>
  <c r="M558" i="8"/>
  <c r="P558" i="8" s="1"/>
  <c r="L558" i="8"/>
  <c r="U557" i="8"/>
  <c r="S557" i="8"/>
  <c r="S556" i="8" s="1"/>
  <c r="R557" i="8"/>
  <c r="Q557" i="8"/>
  <c r="O557" i="8"/>
  <c r="N557" i="8"/>
  <c r="M557" i="8"/>
  <c r="L557" i="8"/>
  <c r="U556" i="8"/>
  <c r="R556" i="8"/>
  <c r="O556" i="8"/>
  <c r="N556" i="8"/>
  <c r="L556" i="8"/>
  <c r="J555" i="8"/>
  <c r="I555" i="8"/>
  <c r="K555" i="8" s="1"/>
  <c r="U543" i="8"/>
  <c r="T543" i="8"/>
  <c r="P543" i="8"/>
  <c r="O543" i="8"/>
  <c r="U542" i="8"/>
  <c r="T542" i="8"/>
  <c r="P542" i="8"/>
  <c r="O542" i="8"/>
  <c r="S541" i="8"/>
  <c r="R541" i="8"/>
  <c r="U541" i="8" s="1"/>
  <c r="Q541" i="8"/>
  <c r="T541" i="8" s="1"/>
  <c r="P541" i="8"/>
  <c r="N541" i="8"/>
  <c r="M541" i="8"/>
  <c r="L541" i="8"/>
  <c r="O541" i="8" s="1"/>
  <c r="U540" i="8"/>
  <c r="T540" i="8"/>
  <c r="P540" i="8"/>
  <c r="O540" i="8"/>
  <c r="U539" i="8"/>
  <c r="T539" i="8"/>
  <c r="P539" i="8"/>
  <c r="O539" i="8"/>
  <c r="S538" i="8"/>
  <c r="R538" i="8"/>
  <c r="U538" i="8" s="1"/>
  <c r="Q538" i="8"/>
  <c r="T538" i="8" s="1"/>
  <c r="P538" i="8"/>
  <c r="N538" i="8"/>
  <c r="M538" i="8"/>
  <c r="L538" i="8"/>
  <c r="O538" i="8" s="1"/>
  <c r="U537" i="8"/>
  <c r="T537" i="8"/>
  <c r="S537" i="8"/>
  <c r="R537" i="8"/>
  <c r="Q537" i="8"/>
  <c r="P537" i="8"/>
  <c r="O537" i="8"/>
  <c r="N537" i="8"/>
  <c r="M537" i="8"/>
  <c r="L537" i="8"/>
  <c r="T536" i="8"/>
  <c r="S536" i="8"/>
  <c r="S535" i="8" s="1"/>
  <c r="R536" i="8"/>
  <c r="Q536" i="8"/>
  <c r="N536" i="8"/>
  <c r="M536" i="8"/>
  <c r="L536" i="8"/>
  <c r="Q535" i="8"/>
  <c r="T535" i="8" s="1"/>
  <c r="N535" i="8"/>
  <c r="J534" i="8"/>
  <c r="I534" i="8"/>
  <c r="K534" i="8" s="1"/>
  <c r="K525" i="8"/>
  <c r="K524" i="8"/>
  <c r="U522" i="8"/>
  <c r="T522" i="8"/>
  <c r="N522" i="8"/>
  <c r="N520" i="8" s="1"/>
  <c r="M522" i="8"/>
  <c r="P522" i="8" s="1"/>
  <c r="L522" i="8"/>
  <c r="L520" i="8" s="1"/>
  <c r="O520" i="8" s="1"/>
  <c r="U521" i="8"/>
  <c r="T521" i="8"/>
  <c r="P521" i="8"/>
  <c r="O521" i="8"/>
  <c r="T520" i="8"/>
  <c r="S520" i="8"/>
  <c r="R520" i="8"/>
  <c r="U520" i="8" s="1"/>
  <c r="Q520" i="8"/>
  <c r="U519" i="8"/>
  <c r="T519" i="8"/>
  <c r="N519" i="8"/>
  <c r="M519" i="8"/>
  <c r="P519" i="8" s="1"/>
  <c r="L519" i="8"/>
  <c r="U518" i="8"/>
  <c r="T518" i="8"/>
  <c r="P518" i="8"/>
  <c r="O518" i="8"/>
  <c r="U517" i="8"/>
  <c r="S517" i="8"/>
  <c r="R517" i="8"/>
  <c r="Q517" i="8"/>
  <c r="T517" i="8" s="1"/>
  <c r="T516" i="8"/>
  <c r="S516" i="8"/>
  <c r="S514" i="8" s="1"/>
  <c r="R516" i="8"/>
  <c r="U516" i="8" s="1"/>
  <c r="Q516" i="8"/>
  <c r="S515" i="8"/>
  <c r="R515" i="8"/>
  <c r="Q515" i="8"/>
  <c r="T515" i="8" s="1"/>
  <c r="P515" i="8"/>
  <c r="N515" i="8"/>
  <c r="M515" i="8"/>
  <c r="L515" i="8"/>
  <c r="Q514" i="8"/>
  <c r="T514" i="8" s="1"/>
  <c r="K513" i="8"/>
  <c r="J513" i="8"/>
  <c r="I513" i="8"/>
  <c r="I510" i="8"/>
  <c r="K510" i="8" s="1"/>
  <c r="K509" i="8"/>
  <c r="I508" i="8"/>
  <c r="K508" i="8" s="1"/>
  <c r="I507" i="8"/>
  <c r="K507" i="8" s="1"/>
  <c r="I506" i="8"/>
  <c r="K506" i="8" s="1"/>
  <c r="I505" i="8"/>
  <c r="I504" i="8"/>
  <c r="K504" i="8" s="1"/>
  <c r="U502" i="8"/>
  <c r="T502" i="8"/>
  <c r="P502" i="8"/>
  <c r="O502" i="8"/>
  <c r="U501" i="8"/>
  <c r="T501" i="8"/>
  <c r="P501" i="8"/>
  <c r="O501" i="8"/>
  <c r="U500" i="8"/>
  <c r="T500" i="8"/>
  <c r="S500" i="8"/>
  <c r="R500" i="8"/>
  <c r="Q500" i="8"/>
  <c r="P500" i="8"/>
  <c r="O500" i="8"/>
  <c r="N500" i="8"/>
  <c r="M500" i="8"/>
  <c r="L500" i="8"/>
  <c r="S499" i="8"/>
  <c r="R499" i="8"/>
  <c r="R497" i="8" s="1"/>
  <c r="U497" i="8" s="1"/>
  <c r="Q499" i="8"/>
  <c r="Q496" i="8" s="1"/>
  <c r="P499" i="8"/>
  <c r="O499" i="8"/>
  <c r="U498" i="8"/>
  <c r="T498" i="8"/>
  <c r="P498" i="8"/>
  <c r="O498" i="8"/>
  <c r="P497" i="8"/>
  <c r="N497" i="8"/>
  <c r="M497" i="8"/>
  <c r="L497" i="8"/>
  <c r="O497" i="8" s="1"/>
  <c r="O496" i="8"/>
  <c r="N496" i="8"/>
  <c r="M496" i="8"/>
  <c r="P496" i="8" s="1"/>
  <c r="L496" i="8"/>
  <c r="U495" i="8"/>
  <c r="S495" i="8"/>
  <c r="R495" i="8"/>
  <c r="Q495" i="8"/>
  <c r="T495" i="8" s="1"/>
  <c r="N495" i="8"/>
  <c r="M495" i="8"/>
  <c r="P495" i="8" s="1"/>
  <c r="L495" i="8"/>
  <c r="O495" i="8" s="1"/>
  <c r="M494" i="8"/>
  <c r="P494" i="8" s="1"/>
  <c r="L494" i="8"/>
  <c r="O494" i="8" s="1"/>
  <c r="J486" i="8"/>
  <c r="I486" i="8"/>
  <c r="K486" i="8" s="1"/>
  <c r="J485" i="8"/>
  <c r="I485" i="8"/>
  <c r="K485" i="8" s="1"/>
  <c r="J484" i="8"/>
  <c r="J483" i="8"/>
  <c r="K478" i="8"/>
  <c r="J478" i="8"/>
  <c r="K477" i="8"/>
  <c r="J477" i="8"/>
  <c r="K476" i="8"/>
  <c r="J476" i="8"/>
  <c r="J469" i="8"/>
  <c r="J459" i="8" s="1"/>
  <c r="J468" i="8"/>
  <c r="J461" i="8"/>
  <c r="J460" i="8"/>
  <c r="J458" i="8" s="1"/>
  <c r="J457" i="8" s="1"/>
  <c r="I459" i="8"/>
  <c r="K459" i="8" s="1"/>
  <c r="I458" i="8"/>
  <c r="K458" i="8" s="1"/>
  <c r="J448" i="8"/>
  <c r="J442" i="8" s="1"/>
  <c r="J447" i="8"/>
  <c r="J441" i="8" s="1"/>
  <c r="J424" i="8" s="1"/>
  <c r="J413" i="8" s="1"/>
  <c r="I442" i="8"/>
  <c r="K442" i="8" s="1"/>
  <c r="I441" i="8"/>
  <c r="K441" i="8" s="1"/>
  <c r="J434" i="8"/>
  <c r="I434" i="8"/>
  <c r="K434" i="8" s="1"/>
  <c r="J433" i="8"/>
  <c r="I433" i="8"/>
  <c r="K433" i="8" s="1"/>
  <c r="J426" i="8"/>
  <c r="I426" i="8"/>
  <c r="K426" i="8" s="1"/>
  <c r="J425" i="8"/>
  <c r="I425" i="8"/>
  <c r="K425" i="8" s="1"/>
  <c r="U422" i="8"/>
  <c r="T422" i="8"/>
  <c r="P422" i="8"/>
  <c r="O422" i="8"/>
  <c r="U421" i="8"/>
  <c r="T421" i="8"/>
  <c r="P421" i="8"/>
  <c r="O421" i="8"/>
  <c r="T420" i="8"/>
  <c r="S420" i="8"/>
  <c r="R420" i="8"/>
  <c r="U420" i="8" s="1"/>
  <c r="Q420" i="8"/>
  <c r="P420" i="8"/>
  <c r="N420" i="8"/>
  <c r="M420" i="8"/>
  <c r="L420" i="8"/>
  <c r="O420" i="8" s="1"/>
  <c r="S419" i="8"/>
  <c r="S417" i="8" s="1"/>
  <c r="R419" i="8"/>
  <c r="R416" i="8" s="1"/>
  <c r="Q419" i="8"/>
  <c r="Q417" i="8" s="1"/>
  <c r="T417" i="8" s="1"/>
  <c r="P419" i="8"/>
  <c r="O419" i="8"/>
  <c r="U418" i="8"/>
  <c r="T418" i="8"/>
  <c r="P418" i="8"/>
  <c r="O418" i="8"/>
  <c r="O417" i="8"/>
  <c r="N417" i="8"/>
  <c r="M417" i="8"/>
  <c r="P417" i="8" s="1"/>
  <c r="L417" i="8"/>
  <c r="N416" i="8"/>
  <c r="M416" i="8"/>
  <c r="P416" i="8" s="1"/>
  <c r="L416" i="8"/>
  <c r="O416" i="8" s="1"/>
  <c r="U415" i="8"/>
  <c r="S415" i="8"/>
  <c r="R415" i="8"/>
  <c r="Q415" i="8"/>
  <c r="T415" i="8" s="1"/>
  <c r="O415" i="8"/>
  <c r="N415" i="8"/>
  <c r="M415" i="8"/>
  <c r="L415" i="8"/>
  <c r="N414" i="8"/>
  <c r="U401" i="8"/>
  <c r="T401" i="8"/>
  <c r="P401" i="8"/>
  <c r="O401" i="8"/>
  <c r="U400" i="8"/>
  <c r="T400" i="8"/>
  <c r="P400" i="8"/>
  <c r="O400" i="8"/>
  <c r="U399" i="8"/>
  <c r="T399" i="8"/>
  <c r="S399" i="8"/>
  <c r="R399" i="8"/>
  <c r="Q399" i="8"/>
  <c r="P399" i="8"/>
  <c r="O399" i="8"/>
  <c r="N399" i="8"/>
  <c r="M399" i="8"/>
  <c r="L399" i="8"/>
  <c r="U398" i="8"/>
  <c r="T398" i="8"/>
  <c r="P398" i="8"/>
  <c r="O398" i="8"/>
  <c r="U397" i="8"/>
  <c r="T397" i="8"/>
  <c r="P397" i="8"/>
  <c r="O397" i="8"/>
  <c r="U396" i="8"/>
  <c r="T396" i="8"/>
  <c r="S396" i="8"/>
  <c r="R396" i="8"/>
  <c r="Q396" i="8"/>
  <c r="P396" i="8"/>
  <c r="O396" i="8"/>
  <c r="N396" i="8"/>
  <c r="M396" i="8"/>
  <c r="L396" i="8"/>
  <c r="T395" i="8"/>
  <c r="S395" i="8"/>
  <c r="R395" i="8"/>
  <c r="U395" i="8" s="1"/>
  <c r="Q395" i="8"/>
  <c r="N395" i="8"/>
  <c r="N393" i="8" s="1"/>
  <c r="M395" i="8"/>
  <c r="P395" i="8" s="1"/>
  <c r="L395" i="8"/>
  <c r="O395" i="8" s="1"/>
  <c r="S394" i="8"/>
  <c r="S393" i="8" s="1"/>
  <c r="R394" i="8"/>
  <c r="U394" i="8" s="1"/>
  <c r="Q394" i="8"/>
  <c r="T394" i="8" s="1"/>
  <c r="O394" i="8"/>
  <c r="N394" i="8"/>
  <c r="M394" i="8"/>
  <c r="L394" i="8"/>
  <c r="K392" i="8"/>
  <c r="J392" i="8"/>
  <c r="I392" i="8"/>
  <c r="J389" i="8"/>
  <c r="I389" i="8"/>
  <c r="K388" i="8"/>
  <c r="J388" i="8"/>
  <c r="J387" i="8"/>
  <c r="I387" i="8"/>
  <c r="K386" i="8"/>
  <c r="J386" i="8"/>
  <c r="U384" i="8"/>
  <c r="T384" i="8"/>
  <c r="P384" i="8"/>
  <c r="O384" i="8"/>
  <c r="U383" i="8"/>
  <c r="T383" i="8"/>
  <c r="P383" i="8"/>
  <c r="O383" i="8"/>
  <c r="U382" i="8"/>
  <c r="T382" i="8"/>
  <c r="S382" i="8"/>
  <c r="R382" i="8"/>
  <c r="Q382" i="8"/>
  <c r="P382" i="8"/>
  <c r="O382" i="8"/>
  <c r="N382" i="8"/>
  <c r="M382" i="8"/>
  <c r="L382" i="8"/>
  <c r="S381" i="8"/>
  <c r="S378" i="8" s="1"/>
  <c r="S376" i="8" s="1"/>
  <c r="R381" i="8"/>
  <c r="Q381" i="8"/>
  <c r="P381" i="8"/>
  <c r="O381" i="8"/>
  <c r="U380" i="8"/>
  <c r="T380" i="8"/>
  <c r="P380" i="8"/>
  <c r="O380" i="8"/>
  <c r="O379" i="8"/>
  <c r="N379" i="8"/>
  <c r="M379" i="8"/>
  <c r="P379" i="8" s="1"/>
  <c r="L379" i="8"/>
  <c r="O378" i="8"/>
  <c r="N378" i="8"/>
  <c r="M378" i="8"/>
  <c r="P378" i="8" s="1"/>
  <c r="L378" i="8"/>
  <c r="U377" i="8"/>
  <c r="S377" i="8"/>
  <c r="R377" i="8"/>
  <c r="Q377" i="8"/>
  <c r="T377" i="8" s="1"/>
  <c r="O377" i="8"/>
  <c r="N377" i="8"/>
  <c r="N376" i="8" s="1"/>
  <c r="M377" i="8"/>
  <c r="P377" i="8" s="1"/>
  <c r="L377" i="8"/>
  <c r="L376" i="8"/>
  <c r="O376" i="8" s="1"/>
  <c r="D374" i="8"/>
  <c r="K373" i="8"/>
  <c r="J373" i="8"/>
  <c r="J372" i="8"/>
  <c r="J366" i="8" s="1"/>
  <c r="I372" i="8"/>
  <c r="I366" i="8" s="1"/>
  <c r="K371" i="8"/>
  <c r="J371" i="8"/>
  <c r="J370" i="8"/>
  <c r="I370" i="8"/>
  <c r="J369" i="8"/>
  <c r="I369" i="8"/>
  <c r="K368" i="8"/>
  <c r="J368" i="8"/>
  <c r="U365" i="8"/>
  <c r="T365" i="8"/>
  <c r="N365" i="8"/>
  <c r="N363" i="8" s="1"/>
  <c r="M365" i="8"/>
  <c r="L365" i="8"/>
  <c r="L363" i="8" s="1"/>
  <c r="O363" i="8" s="1"/>
  <c r="U364" i="8"/>
  <c r="T364" i="8"/>
  <c r="P364" i="8"/>
  <c r="O364" i="8"/>
  <c r="T363" i="8"/>
  <c r="S363" i="8"/>
  <c r="R363" i="8"/>
  <c r="U363" i="8" s="1"/>
  <c r="Q363" i="8"/>
  <c r="U362" i="8"/>
  <c r="T362" i="8"/>
  <c r="N362" i="8"/>
  <c r="N360" i="8" s="1"/>
  <c r="M362" i="8"/>
  <c r="M360" i="8" s="1"/>
  <c r="L362" i="8"/>
  <c r="L360" i="8" s="1"/>
  <c r="U361" i="8"/>
  <c r="T361" i="8"/>
  <c r="P361" i="8"/>
  <c r="O361" i="8"/>
  <c r="U360" i="8"/>
  <c r="S360" i="8"/>
  <c r="R360" i="8"/>
  <c r="Q360" i="8"/>
  <c r="T360" i="8" s="1"/>
  <c r="U359" i="8"/>
  <c r="T359" i="8"/>
  <c r="S359" i="8"/>
  <c r="R359" i="8"/>
  <c r="Q359" i="8"/>
  <c r="S358" i="8"/>
  <c r="R358" i="8"/>
  <c r="R357" i="8" s="1"/>
  <c r="Q358" i="8"/>
  <c r="T358" i="8" s="1"/>
  <c r="N358" i="8"/>
  <c r="M358" i="8"/>
  <c r="P358" i="8" s="1"/>
  <c r="L358" i="8"/>
  <c r="O358" i="8" s="1"/>
  <c r="U357" i="8"/>
  <c r="S357" i="8"/>
  <c r="D355" i="8"/>
  <c r="J354" i="8"/>
  <c r="J353" i="8"/>
  <c r="D351" i="8"/>
  <c r="J350" i="8"/>
  <c r="J349" i="8"/>
  <c r="J348" i="8"/>
  <c r="J347" i="8"/>
  <c r="I347" i="8"/>
  <c r="J345" i="8"/>
  <c r="I345" i="8"/>
  <c r="U342" i="8"/>
  <c r="T342" i="8"/>
  <c r="N342" i="8"/>
  <c r="M342" i="8"/>
  <c r="M340" i="8" s="1"/>
  <c r="P340" i="8" s="1"/>
  <c r="L342" i="8"/>
  <c r="O342" i="8" s="1"/>
  <c r="U341" i="8"/>
  <c r="T341" i="8"/>
  <c r="P341" i="8"/>
  <c r="O341" i="8"/>
  <c r="U340" i="8"/>
  <c r="S340" i="8"/>
  <c r="R340" i="8"/>
  <c r="Q340" i="8"/>
  <c r="T340" i="8" s="1"/>
  <c r="U339" i="8"/>
  <c r="T339" i="8"/>
  <c r="N339" i="8"/>
  <c r="N337" i="8" s="1"/>
  <c r="M339" i="8"/>
  <c r="L339" i="8"/>
  <c r="L337" i="8" s="1"/>
  <c r="U338" i="8"/>
  <c r="T338" i="8"/>
  <c r="P338" i="8"/>
  <c r="O338" i="8"/>
  <c r="T337" i="8"/>
  <c r="S337" i="8"/>
  <c r="R337" i="8"/>
  <c r="U337" i="8" s="1"/>
  <c r="Q337" i="8"/>
  <c r="T336" i="8"/>
  <c r="S336" i="8"/>
  <c r="R336" i="8"/>
  <c r="U336" i="8" s="1"/>
  <c r="Q336" i="8"/>
  <c r="T335" i="8"/>
  <c r="S335" i="8"/>
  <c r="R335" i="8"/>
  <c r="U335" i="8" s="1"/>
  <c r="Q335" i="8"/>
  <c r="Q334" i="8" s="1"/>
  <c r="P335" i="8"/>
  <c r="N335" i="8"/>
  <c r="M335" i="8"/>
  <c r="L335" i="8"/>
  <c r="O335" i="8" s="1"/>
  <c r="T334" i="8"/>
  <c r="S334" i="8"/>
  <c r="I331" i="8"/>
  <c r="K331" i="8" s="1"/>
  <c r="U329" i="8"/>
  <c r="T329" i="8"/>
  <c r="N329" i="8"/>
  <c r="M329" i="8"/>
  <c r="M327" i="8" s="1"/>
  <c r="P327" i="8" s="1"/>
  <c r="L329" i="8"/>
  <c r="U328" i="8"/>
  <c r="T328" i="8"/>
  <c r="P328" i="8"/>
  <c r="O328" i="8"/>
  <c r="T327" i="8"/>
  <c r="S327" i="8"/>
  <c r="R327" i="8"/>
  <c r="U327" i="8" s="1"/>
  <c r="Q327" i="8"/>
  <c r="U326" i="8"/>
  <c r="T326" i="8"/>
  <c r="N326" i="8"/>
  <c r="N324" i="8" s="1"/>
  <c r="M326" i="8"/>
  <c r="P326" i="8" s="1"/>
  <c r="L326" i="8"/>
  <c r="O326" i="8" s="1"/>
  <c r="U325" i="8"/>
  <c r="T325" i="8"/>
  <c r="P325" i="8"/>
  <c r="O325" i="8"/>
  <c r="T324" i="8"/>
  <c r="S324" i="8"/>
  <c r="R324" i="8"/>
  <c r="U324" i="8" s="1"/>
  <c r="Q324" i="8"/>
  <c r="S323" i="8"/>
  <c r="R323" i="8"/>
  <c r="Q323" i="8"/>
  <c r="T323" i="8" s="1"/>
  <c r="U322" i="8"/>
  <c r="S322" i="8"/>
  <c r="R322" i="8"/>
  <c r="Q322" i="8"/>
  <c r="T322" i="8" s="1"/>
  <c r="O322" i="8"/>
  <c r="N322" i="8"/>
  <c r="M322" i="8"/>
  <c r="P322" i="8" s="1"/>
  <c r="L322" i="8"/>
  <c r="S321" i="8"/>
  <c r="J320" i="8"/>
  <c r="I315" i="8"/>
  <c r="K315" i="8" s="1"/>
  <c r="U312" i="8"/>
  <c r="T312" i="8"/>
  <c r="N312" i="8"/>
  <c r="M312" i="8"/>
  <c r="P312" i="8" s="1"/>
  <c r="L312" i="8"/>
  <c r="L310" i="8" s="1"/>
  <c r="O310" i="8" s="1"/>
  <c r="U311" i="8"/>
  <c r="T311" i="8"/>
  <c r="P311" i="8"/>
  <c r="O311" i="8"/>
  <c r="U310" i="8"/>
  <c r="S310" i="8"/>
  <c r="R310" i="8"/>
  <c r="Q310" i="8"/>
  <c r="T310" i="8" s="1"/>
  <c r="S309" i="8"/>
  <c r="S306" i="8" s="1"/>
  <c r="S304" i="8" s="1"/>
  <c r="R309" i="8"/>
  <c r="R307" i="8" s="1"/>
  <c r="Q309" i="8"/>
  <c r="Q307" i="8" s="1"/>
  <c r="N309" i="8"/>
  <c r="N307" i="8" s="1"/>
  <c r="M309" i="8"/>
  <c r="M307" i="8" s="1"/>
  <c r="L309" i="8"/>
  <c r="L307" i="8" s="1"/>
  <c r="U308" i="8"/>
  <c r="T308" i="8"/>
  <c r="P308" i="8"/>
  <c r="O308" i="8"/>
  <c r="S305" i="8"/>
  <c r="R305" i="8"/>
  <c r="Q305" i="8"/>
  <c r="T305" i="8" s="1"/>
  <c r="O305" i="8"/>
  <c r="N305" i="8"/>
  <c r="M305" i="8"/>
  <c r="P305" i="8" s="1"/>
  <c r="L305" i="8"/>
  <c r="J303" i="8"/>
  <c r="I297" i="8"/>
  <c r="K297" i="8" s="1"/>
  <c r="I296" i="8"/>
  <c r="K296" i="8" s="1"/>
  <c r="J294" i="8"/>
  <c r="I294" i="8"/>
  <c r="I281" i="8" s="1"/>
  <c r="K281" i="8" s="1"/>
  <c r="I293" i="8"/>
  <c r="U291" i="8"/>
  <c r="T291" i="8"/>
  <c r="N291" i="8"/>
  <c r="N289" i="8" s="1"/>
  <c r="M291" i="8"/>
  <c r="M289" i="8" s="1"/>
  <c r="P289" i="8" s="1"/>
  <c r="L291" i="8"/>
  <c r="L289" i="8" s="1"/>
  <c r="O289" i="8" s="1"/>
  <c r="U290" i="8"/>
  <c r="T290" i="8"/>
  <c r="P290" i="8"/>
  <c r="O290" i="8"/>
  <c r="T289" i="8"/>
  <c r="S289" i="8"/>
  <c r="R289" i="8"/>
  <c r="U289" i="8" s="1"/>
  <c r="Q289" i="8"/>
  <c r="U288" i="8"/>
  <c r="T288" i="8"/>
  <c r="N288" i="8"/>
  <c r="M288" i="8"/>
  <c r="M286" i="8" s="1"/>
  <c r="L288" i="8"/>
  <c r="L286" i="8" s="1"/>
  <c r="U287" i="8"/>
  <c r="T287" i="8"/>
  <c r="P287" i="8"/>
  <c r="O287" i="8"/>
  <c r="U286" i="8"/>
  <c r="S286" i="8"/>
  <c r="R286" i="8"/>
  <c r="Q286" i="8"/>
  <c r="T286" i="8" s="1"/>
  <c r="T285" i="8"/>
  <c r="S285" i="8"/>
  <c r="S283" i="8" s="1"/>
  <c r="R285" i="8"/>
  <c r="U285" i="8" s="1"/>
  <c r="Q285" i="8"/>
  <c r="S284" i="8"/>
  <c r="R284" i="8"/>
  <c r="Q284" i="8"/>
  <c r="T284" i="8" s="1"/>
  <c r="P284" i="8"/>
  <c r="O284" i="8"/>
  <c r="N284" i="8"/>
  <c r="M284" i="8"/>
  <c r="L284" i="8"/>
  <c r="Q283" i="8"/>
  <c r="T283" i="8" s="1"/>
  <c r="J282" i="8"/>
  <c r="J281" i="8"/>
  <c r="I277" i="8"/>
  <c r="U275" i="8"/>
  <c r="T275" i="8"/>
  <c r="N275" i="8"/>
  <c r="N273" i="8" s="1"/>
  <c r="M275" i="8"/>
  <c r="P275" i="8" s="1"/>
  <c r="L275" i="8"/>
  <c r="U274" i="8"/>
  <c r="T274" i="8"/>
  <c r="P274" i="8"/>
  <c r="O274" i="8"/>
  <c r="U273" i="8"/>
  <c r="T273" i="8"/>
  <c r="S273" i="8"/>
  <c r="R273" i="8"/>
  <c r="Q273" i="8"/>
  <c r="S272" i="8"/>
  <c r="S270" i="8" s="1"/>
  <c r="R272" i="8"/>
  <c r="R270" i="8" s="1"/>
  <c r="Q272" i="8"/>
  <c r="N272" i="8"/>
  <c r="M272" i="8"/>
  <c r="L272" i="8"/>
  <c r="U271" i="8"/>
  <c r="T271" i="8"/>
  <c r="P271" i="8"/>
  <c r="O271" i="8"/>
  <c r="T268" i="8"/>
  <c r="S268" i="8"/>
  <c r="R268" i="8"/>
  <c r="U268" i="8" s="1"/>
  <c r="Q268" i="8"/>
  <c r="P268" i="8"/>
  <c r="N268" i="8"/>
  <c r="M268" i="8"/>
  <c r="L268" i="8"/>
  <c r="O268" i="8" s="1"/>
  <c r="J266" i="8"/>
  <c r="K264" i="8"/>
  <c r="K263" i="8"/>
  <c r="I261" i="8"/>
  <c r="L259" i="8"/>
  <c r="L258" i="8"/>
  <c r="L257" i="8"/>
  <c r="L256" i="8"/>
  <c r="P255" i="8"/>
  <c r="N255" i="8"/>
  <c r="J254" i="8"/>
  <c r="I253" i="8"/>
  <c r="K253" i="8" s="1"/>
  <c r="I252" i="8"/>
  <c r="I250" i="8"/>
  <c r="K250" i="8" s="1"/>
  <c r="L248" i="8"/>
  <c r="L247" i="8"/>
  <c r="L246" i="8"/>
  <c r="L245" i="8"/>
  <c r="P244" i="8"/>
  <c r="N244" i="8"/>
  <c r="N233" i="8" s="1"/>
  <c r="J243" i="8"/>
  <c r="J232" i="8" s="1"/>
  <c r="J242" i="8"/>
  <c r="J241" i="8"/>
  <c r="J239" i="8"/>
  <c r="N237" i="8"/>
  <c r="N236" i="8"/>
  <c r="N235" i="8"/>
  <c r="N234" i="8"/>
  <c r="I231" i="8"/>
  <c r="K231" i="8" s="1"/>
  <c r="I230" i="8"/>
  <c r="K230" i="8" s="1"/>
  <c r="I229" i="8"/>
  <c r="K229" i="8" s="1"/>
  <c r="L226" i="8"/>
  <c r="L225" i="8"/>
  <c r="L224" i="8"/>
  <c r="P223" i="8"/>
  <c r="N223" i="8"/>
  <c r="J222" i="8"/>
  <c r="I221" i="8"/>
  <c r="K221" i="8" s="1"/>
  <c r="I220" i="8"/>
  <c r="K220" i="8" s="1"/>
  <c r="L218" i="8"/>
  <c r="L217" i="8"/>
  <c r="L216" i="8"/>
  <c r="P215" i="8"/>
  <c r="N215" i="8"/>
  <c r="J214" i="8"/>
  <c r="I213" i="8"/>
  <c r="K213" i="8" s="1"/>
  <c r="I212" i="8"/>
  <c r="K212" i="8" s="1"/>
  <c r="I210" i="8"/>
  <c r="K210" i="8" s="1"/>
  <c r="L208" i="8"/>
  <c r="L207" i="8"/>
  <c r="L206" i="8"/>
  <c r="L205" i="8"/>
  <c r="P204" i="8"/>
  <c r="N204" i="8"/>
  <c r="J203" i="8"/>
  <c r="J200" i="8"/>
  <c r="I199" i="8"/>
  <c r="I196" i="8" s="1"/>
  <c r="P197" i="8"/>
  <c r="L197" i="8"/>
  <c r="O197" i="8" s="1"/>
  <c r="J196" i="8"/>
  <c r="U195" i="8"/>
  <c r="T195" i="8"/>
  <c r="N195" i="8"/>
  <c r="N193" i="8" s="1"/>
  <c r="M195" i="8"/>
  <c r="L195" i="8"/>
  <c r="O195" i="8" s="1"/>
  <c r="U194" i="8"/>
  <c r="T194" i="8"/>
  <c r="P194" i="8"/>
  <c r="O194" i="8"/>
  <c r="T193" i="8"/>
  <c r="S193" i="8"/>
  <c r="R193" i="8"/>
  <c r="U193" i="8" s="1"/>
  <c r="Q193" i="8"/>
  <c r="S192" i="8"/>
  <c r="R192" i="8"/>
  <c r="Q192" i="8"/>
  <c r="Q190" i="8" s="1"/>
  <c r="N192" i="8"/>
  <c r="M192" i="8"/>
  <c r="L192" i="8"/>
  <c r="L190" i="8" s="1"/>
  <c r="U191" i="8"/>
  <c r="T191" i="8"/>
  <c r="P191" i="8"/>
  <c r="O191" i="8"/>
  <c r="T188" i="8"/>
  <c r="S188" i="8"/>
  <c r="R188" i="8"/>
  <c r="U188" i="8" s="1"/>
  <c r="Q188" i="8"/>
  <c r="P188" i="8"/>
  <c r="N188" i="8"/>
  <c r="M188" i="8"/>
  <c r="L188" i="8"/>
  <c r="J186" i="8"/>
  <c r="K185" i="8"/>
  <c r="I184" i="8"/>
  <c r="U182" i="8"/>
  <c r="T182" i="8"/>
  <c r="N182" i="8"/>
  <c r="N180" i="8" s="1"/>
  <c r="M182" i="8"/>
  <c r="P182" i="8" s="1"/>
  <c r="L182" i="8"/>
  <c r="O182" i="8" s="1"/>
  <c r="U181" i="8"/>
  <c r="T181" i="8"/>
  <c r="P181" i="8"/>
  <c r="O181" i="8"/>
  <c r="U180" i="8"/>
  <c r="S180" i="8"/>
  <c r="R180" i="8"/>
  <c r="Q180" i="8"/>
  <c r="T180" i="8" s="1"/>
  <c r="S179" i="8"/>
  <c r="S176" i="8" s="1"/>
  <c r="R179" i="8"/>
  <c r="R176" i="8" s="1"/>
  <c r="U176" i="8" s="1"/>
  <c r="Q179" i="8"/>
  <c r="T179" i="8" s="1"/>
  <c r="N179" i="8"/>
  <c r="N177" i="8" s="1"/>
  <c r="M179" i="8"/>
  <c r="L179" i="8"/>
  <c r="U178" i="8"/>
  <c r="T178" i="8"/>
  <c r="P178" i="8"/>
  <c r="O178" i="8"/>
  <c r="S175" i="8"/>
  <c r="R175" i="8"/>
  <c r="Q175" i="8"/>
  <c r="T175" i="8" s="1"/>
  <c r="O175" i="8"/>
  <c r="N175" i="8"/>
  <c r="M175" i="8"/>
  <c r="P175" i="8" s="1"/>
  <c r="L175" i="8"/>
  <c r="J173" i="8"/>
  <c r="I168" i="8"/>
  <c r="I169" i="8" s="1"/>
  <c r="K169" i="8" s="1"/>
  <c r="U166" i="8"/>
  <c r="T166" i="8"/>
  <c r="N166" i="8"/>
  <c r="N164" i="8" s="1"/>
  <c r="M166" i="8"/>
  <c r="L166" i="8"/>
  <c r="L164" i="8" s="1"/>
  <c r="O164" i="8" s="1"/>
  <c r="U165" i="8"/>
  <c r="T165" i="8"/>
  <c r="P165" i="8"/>
  <c r="O165" i="8"/>
  <c r="U164" i="8"/>
  <c r="S164" i="8"/>
  <c r="R164" i="8"/>
  <c r="Q164" i="8"/>
  <c r="T164" i="8" s="1"/>
  <c r="S163" i="8"/>
  <c r="R163" i="8"/>
  <c r="R160" i="8" s="1"/>
  <c r="U160" i="8" s="1"/>
  <c r="Q161" i="8"/>
  <c r="T161" i="8" s="1"/>
  <c r="N163" i="8"/>
  <c r="N161" i="8" s="1"/>
  <c r="M163" i="8"/>
  <c r="M161" i="8" s="1"/>
  <c r="L163" i="8"/>
  <c r="L161" i="8" s="1"/>
  <c r="U162" i="8"/>
  <c r="T162" i="8"/>
  <c r="P162" i="8"/>
  <c r="O162" i="8"/>
  <c r="S159" i="8"/>
  <c r="R159" i="8"/>
  <c r="Q159" i="8"/>
  <c r="T159" i="8" s="1"/>
  <c r="N159" i="8"/>
  <c r="M159" i="8"/>
  <c r="P159" i="8" s="1"/>
  <c r="L159" i="8"/>
  <c r="O159" i="8" s="1"/>
  <c r="J157" i="8"/>
  <c r="I155" i="8"/>
  <c r="K155" i="8" s="1"/>
  <c r="I154" i="8"/>
  <c r="K154" i="8" s="1"/>
  <c r="I153" i="8"/>
  <c r="I152" i="8"/>
  <c r="K152" i="8" s="1"/>
  <c r="I151" i="8"/>
  <c r="K151" i="8" s="1"/>
  <c r="U148" i="8"/>
  <c r="T148" i="8"/>
  <c r="N148" i="8"/>
  <c r="N146" i="8" s="1"/>
  <c r="M148" i="8"/>
  <c r="P148" i="8" s="1"/>
  <c r="L148" i="8"/>
  <c r="L146" i="8" s="1"/>
  <c r="O146" i="8" s="1"/>
  <c r="U147" i="8"/>
  <c r="T147" i="8"/>
  <c r="P147" i="8"/>
  <c r="O147" i="8"/>
  <c r="U146" i="8"/>
  <c r="T146" i="8"/>
  <c r="S146" i="8"/>
  <c r="R146" i="8"/>
  <c r="Q146" i="8"/>
  <c r="S145" i="8"/>
  <c r="S142" i="8" s="1"/>
  <c r="R145" i="8"/>
  <c r="R143" i="8" s="1"/>
  <c r="U143" i="8" s="1"/>
  <c r="Q145" i="8"/>
  <c r="Q143" i="8" s="1"/>
  <c r="T143" i="8" s="1"/>
  <c r="N145" i="8"/>
  <c r="N143" i="8" s="1"/>
  <c r="M145" i="8"/>
  <c r="L145" i="8"/>
  <c r="L143" i="8" s="1"/>
  <c r="U144" i="8"/>
  <c r="T144" i="8"/>
  <c r="P144" i="8"/>
  <c r="O144" i="8"/>
  <c r="U141" i="8"/>
  <c r="S141" i="8"/>
  <c r="R141" i="8"/>
  <c r="Q141" i="8"/>
  <c r="T141" i="8" s="1"/>
  <c r="O141" i="8"/>
  <c r="N141" i="8"/>
  <c r="M141" i="8"/>
  <c r="P141" i="8" s="1"/>
  <c r="L141" i="8"/>
  <c r="J139" i="8"/>
  <c r="J138" i="8"/>
  <c r="J137" i="8"/>
  <c r="I131" i="8"/>
  <c r="K131" i="8" s="1"/>
  <c r="I130" i="8"/>
  <c r="K130" i="8" s="1"/>
  <c r="I129" i="8"/>
  <c r="K129" i="8" s="1"/>
  <c r="I128" i="8"/>
  <c r="K128" i="8" s="1"/>
  <c r="U126" i="8"/>
  <c r="T126" i="8"/>
  <c r="N126" i="8"/>
  <c r="N124" i="8" s="1"/>
  <c r="M126" i="8"/>
  <c r="L126" i="8"/>
  <c r="O126" i="8" s="1"/>
  <c r="U125" i="8"/>
  <c r="T125" i="8"/>
  <c r="P125" i="8"/>
  <c r="O125" i="8"/>
  <c r="U124" i="8"/>
  <c r="S124" i="8"/>
  <c r="R124" i="8"/>
  <c r="Q124" i="8"/>
  <c r="T124" i="8" s="1"/>
  <c r="S123" i="8"/>
  <c r="S121" i="8" s="1"/>
  <c r="R123" i="8"/>
  <c r="Q123" i="8"/>
  <c r="Q120" i="8" s="1"/>
  <c r="N123" i="8"/>
  <c r="M123" i="8"/>
  <c r="P123" i="8" s="1"/>
  <c r="L123" i="8"/>
  <c r="O123" i="8" s="1"/>
  <c r="U122" i="8"/>
  <c r="T122" i="8"/>
  <c r="P122" i="8"/>
  <c r="O122" i="8"/>
  <c r="U119" i="8"/>
  <c r="S119" i="8"/>
  <c r="R119" i="8"/>
  <c r="Q119" i="8"/>
  <c r="T119" i="8" s="1"/>
  <c r="N119" i="8"/>
  <c r="M119" i="8"/>
  <c r="L119" i="8"/>
  <c r="J117" i="8"/>
  <c r="I115" i="8"/>
  <c r="K115" i="8" s="1"/>
  <c r="I110" i="8"/>
  <c r="I109" i="8"/>
  <c r="K109" i="8" s="1"/>
  <c r="U103" i="8"/>
  <c r="T103" i="8"/>
  <c r="N103" i="8"/>
  <c r="N101" i="8" s="1"/>
  <c r="M103" i="8"/>
  <c r="M101" i="8" s="1"/>
  <c r="P101" i="8" s="1"/>
  <c r="L103" i="8"/>
  <c r="O103" i="8" s="1"/>
  <c r="U102" i="8"/>
  <c r="T102" i="8"/>
  <c r="P102" i="8"/>
  <c r="O102" i="8"/>
  <c r="S101" i="8"/>
  <c r="R101" i="8"/>
  <c r="U101" i="8" s="1"/>
  <c r="Q101" i="8"/>
  <c r="T101" i="8" s="1"/>
  <c r="S100" i="8"/>
  <c r="R100" i="8"/>
  <c r="U100" i="8" s="1"/>
  <c r="Q97" i="8"/>
  <c r="N100" i="8"/>
  <c r="M100" i="8"/>
  <c r="P100" i="8" s="1"/>
  <c r="L100" i="8"/>
  <c r="O100" i="8" s="1"/>
  <c r="U99" i="8"/>
  <c r="T99" i="8"/>
  <c r="P99" i="8"/>
  <c r="O99" i="8"/>
  <c r="U96" i="8"/>
  <c r="T96" i="8"/>
  <c r="S96" i="8"/>
  <c r="R96" i="8"/>
  <c r="Q96" i="8"/>
  <c r="N96" i="8"/>
  <c r="M96" i="8"/>
  <c r="P96" i="8" s="1"/>
  <c r="L96" i="8"/>
  <c r="O96" i="8" s="1"/>
  <c r="J94" i="8"/>
  <c r="J93" i="8"/>
  <c r="I91" i="8"/>
  <c r="K91" i="8" s="1"/>
  <c r="I90" i="8"/>
  <c r="K90" i="8" s="1"/>
  <c r="I89" i="8"/>
  <c r="K89" i="8" s="1"/>
  <c r="I88" i="8"/>
  <c r="I87" i="8"/>
  <c r="K87" i="8" s="1"/>
  <c r="I86" i="8"/>
  <c r="K86" i="8" s="1"/>
  <c r="I85" i="8"/>
  <c r="K85" i="8" s="1"/>
  <c r="J84" i="8"/>
  <c r="J83" i="8"/>
  <c r="J71" i="8" s="1"/>
  <c r="U81" i="8"/>
  <c r="T81" i="8"/>
  <c r="N81" i="8"/>
  <c r="N79" i="8" s="1"/>
  <c r="M81" i="8"/>
  <c r="L81" i="8"/>
  <c r="O81" i="8" s="1"/>
  <c r="U80" i="8"/>
  <c r="T80" i="8"/>
  <c r="P80" i="8"/>
  <c r="O80" i="8"/>
  <c r="U79" i="8"/>
  <c r="T79" i="8"/>
  <c r="S79" i="8"/>
  <c r="R79" i="8"/>
  <c r="Q79" i="8"/>
  <c r="S78" i="8"/>
  <c r="S76" i="8" s="1"/>
  <c r="R78" i="8"/>
  <c r="Q78" i="8"/>
  <c r="Q76" i="8" s="1"/>
  <c r="N78" i="8"/>
  <c r="N76" i="8" s="1"/>
  <c r="M78" i="8"/>
  <c r="M76" i="8" s="1"/>
  <c r="L78" i="8"/>
  <c r="L76" i="8" s="1"/>
  <c r="U77" i="8"/>
  <c r="T77" i="8"/>
  <c r="P77" i="8"/>
  <c r="O77" i="8"/>
  <c r="S74" i="8"/>
  <c r="R74" i="8"/>
  <c r="U74" i="8" s="1"/>
  <c r="Q74" i="8"/>
  <c r="P74" i="8"/>
  <c r="N74" i="8"/>
  <c r="M74" i="8"/>
  <c r="L74" i="8"/>
  <c r="J72" i="8"/>
  <c r="U68" i="8"/>
  <c r="T68" i="8"/>
  <c r="N68" i="8"/>
  <c r="N66" i="8" s="1"/>
  <c r="M68" i="8"/>
  <c r="P68" i="8" s="1"/>
  <c r="L68" i="8"/>
  <c r="O68" i="8" s="1"/>
  <c r="U67" i="8"/>
  <c r="T67" i="8"/>
  <c r="P67" i="8"/>
  <c r="O67" i="8"/>
  <c r="U66" i="8"/>
  <c r="T66" i="8"/>
  <c r="S66" i="8"/>
  <c r="R66" i="8"/>
  <c r="Q66" i="8"/>
  <c r="U65" i="8"/>
  <c r="T65" i="8"/>
  <c r="N65" i="8"/>
  <c r="M65" i="8"/>
  <c r="M63" i="8" s="1"/>
  <c r="L65" i="8"/>
  <c r="L63" i="8" s="1"/>
  <c r="U64" i="8"/>
  <c r="T64" i="8"/>
  <c r="P64" i="8"/>
  <c r="O64" i="8"/>
  <c r="S63" i="8"/>
  <c r="R63" i="8"/>
  <c r="U63" i="8" s="1"/>
  <c r="Q63" i="8"/>
  <c r="T63" i="8" s="1"/>
  <c r="U62" i="8"/>
  <c r="T62" i="8"/>
  <c r="S62" i="8"/>
  <c r="R62" i="8"/>
  <c r="Q62" i="8"/>
  <c r="S61" i="8"/>
  <c r="R61" i="8"/>
  <c r="Q61" i="8"/>
  <c r="T61" i="8" s="1"/>
  <c r="P61" i="8"/>
  <c r="N61" i="8"/>
  <c r="M61" i="8"/>
  <c r="L61" i="8"/>
  <c r="S60" i="8"/>
  <c r="U53" i="8"/>
  <c r="T53" i="8"/>
  <c r="N53" i="8"/>
  <c r="N51" i="8" s="1"/>
  <c r="M53" i="8"/>
  <c r="P53" i="8" s="1"/>
  <c r="L53" i="8"/>
  <c r="O53" i="8" s="1"/>
  <c r="U52" i="8"/>
  <c r="T52" i="8"/>
  <c r="P52" i="8"/>
  <c r="O52" i="8"/>
  <c r="S51" i="8"/>
  <c r="R51" i="8"/>
  <c r="U51" i="8" s="1"/>
  <c r="Q51" i="8"/>
  <c r="T51" i="8" s="1"/>
  <c r="U50" i="8"/>
  <c r="T50" i="8"/>
  <c r="N50" i="8"/>
  <c r="M50" i="8"/>
  <c r="M48" i="8" s="1"/>
  <c r="L50" i="8"/>
  <c r="L48" i="8" s="1"/>
  <c r="U49" i="8"/>
  <c r="T49" i="8"/>
  <c r="P49" i="8"/>
  <c r="O49" i="8"/>
  <c r="U48" i="8"/>
  <c r="T48" i="8"/>
  <c r="S48" i="8"/>
  <c r="R48" i="8"/>
  <c r="Q48" i="8"/>
  <c r="T47" i="8"/>
  <c r="S47" i="8"/>
  <c r="R47" i="8"/>
  <c r="U47" i="8" s="1"/>
  <c r="Q47" i="8"/>
  <c r="S46" i="8"/>
  <c r="R46" i="8"/>
  <c r="Q46" i="8"/>
  <c r="T46" i="8" s="1"/>
  <c r="P46" i="8"/>
  <c r="N46" i="8"/>
  <c r="M46" i="8"/>
  <c r="L46" i="8"/>
  <c r="S45" i="8"/>
  <c r="S27" i="8"/>
  <c r="S25" i="8" s="1"/>
  <c r="R27" i="8"/>
  <c r="U27" i="8" s="1"/>
  <c r="Q27" i="8"/>
  <c r="T27" i="8" s="1"/>
  <c r="U26" i="8"/>
  <c r="T26" i="8"/>
  <c r="S26" i="8"/>
  <c r="R26" i="8"/>
  <c r="Q26" i="8"/>
  <c r="Q25" i="8" s="1"/>
  <c r="T25" i="8" s="1"/>
  <c r="O26" i="8"/>
  <c r="N26" i="8"/>
  <c r="M26" i="8"/>
  <c r="P26" i="8" s="1"/>
  <c r="L26" i="8"/>
  <c r="S23" i="8"/>
  <c r="R23" i="8"/>
  <c r="R20" i="8" s="1"/>
  <c r="U20" i="8" s="1"/>
  <c r="Q23" i="8"/>
  <c r="N23" i="8"/>
  <c r="M23" i="8"/>
  <c r="P23" i="8" s="1"/>
  <c r="L23" i="8"/>
  <c r="O23" i="8" s="1"/>
  <c r="S20" i="8"/>
  <c r="A788" i="7"/>
  <c r="J785" i="7"/>
  <c r="I785" i="7"/>
  <c r="J784" i="7"/>
  <c r="I784" i="7"/>
  <c r="J783" i="7"/>
  <c r="I783" i="7"/>
  <c r="K783" i="7" s="1"/>
  <c r="J782" i="7"/>
  <c r="I782" i="7"/>
  <c r="K782" i="7" s="1"/>
  <c r="J781" i="7"/>
  <c r="I781" i="7"/>
  <c r="J780" i="7"/>
  <c r="I780" i="7"/>
  <c r="J779" i="7"/>
  <c r="I779" i="7"/>
  <c r="J778" i="7"/>
  <c r="I778" i="7"/>
  <c r="H777" i="7"/>
  <c r="I776" i="7"/>
  <c r="I775" i="7"/>
  <c r="I774" i="7"/>
  <c r="I772" i="7"/>
  <c r="K772" i="7" s="1"/>
  <c r="I770" i="7"/>
  <c r="K770" i="7" s="1"/>
  <c r="U768" i="7"/>
  <c r="T768" i="7"/>
  <c r="P768" i="7"/>
  <c r="O768" i="7"/>
  <c r="U767" i="7"/>
  <c r="T767" i="7"/>
  <c r="P767" i="7"/>
  <c r="O767" i="7"/>
  <c r="U766" i="7"/>
  <c r="S766" i="7"/>
  <c r="R766" i="7"/>
  <c r="Q766" i="7"/>
  <c r="T766" i="7" s="1"/>
  <c r="P766" i="7"/>
  <c r="O766" i="7"/>
  <c r="N766" i="7"/>
  <c r="M766" i="7"/>
  <c r="L766" i="7"/>
  <c r="S765" i="7"/>
  <c r="S762" i="7" s="1"/>
  <c r="S760" i="7" s="1"/>
  <c r="R765" i="7"/>
  <c r="R763" i="7" s="1"/>
  <c r="Q765" i="7"/>
  <c r="Q762" i="7" s="1"/>
  <c r="P765" i="7"/>
  <c r="O765" i="7"/>
  <c r="U764" i="7"/>
  <c r="T764" i="7"/>
  <c r="P764" i="7"/>
  <c r="O764" i="7"/>
  <c r="N763" i="7"/>
  <c r="M763" i="7"/>
  <c r="P763" i="7" s="1"/>
  <c r="L763" i="7"/>
  <c r="O763" i="7" s="1"/>
  <c r="P762" i="7"/>
  <c r="N762" i="7"/>
  <c r="M762" i="7"/>
  <c r="L762" i="7"/>
  <c r="O762" i="7" s="1"/>
  <c r="U761" i="7"/>
  <c r="T761" i="7"/>
  <c r="S761" i="7"/>
  <c r="R761" i="7"/>
  <c r="Q761" i="7"/>
  <c r="P761" i="7"/>
  <c r="O761" i="7"/>
  <c r="N761" i="7"/>
  <c r="M761" i="7"/>
  <c r="L761" i="7"/>
  <c r="L760" i="7" s="1"/>
  <c r="O760" i="7" s="1"/>
  <c r="N760" i="7"/>
  <c r="M760" i="7"/>
  <c r="P760" i="7" s="1"/>
  <c r="J759" i="7"/>
  <c r="J758" i="7"/>
  <c r="I756" i="7"/>
  <c r="K756" i="7" s="1"/>
  <c r="I753" i="7"/>
  <c r="K753" i="7" s="1"/>
  <c r="I750" i="7"/>
  <c r="K750" i="7" s="1"/>
  <c r="I747" i="7"/>
  <c r="K747" i="7" s="1"/>
  <c r="I745" i="7"/>
  <c r="K745" i="7" s="1"/>
  <c r="I743" i="7"/>
  <c r="K743" i="7" s="1"/>
  <c r="I741" i="7"/>
  <c r="K741" i="7" s="1"/>
  <c r="U737" i="7"/>
  <c r="T737" i="7"/>
  <c r="P737" i="7"/>
  <c r="O737" i="7"/>
  <c r="U736" i="7"/>
  <c r="T736" i="7"/>
  <c r="P736" i="7"/>
  <c r="O736" i="7"/>
  <c r="U735" i="7"/>
  <c r="T735" i="7"/>
  <c r="S735" i="7"/>
  <c r="R735" i="7"/>
  <c r="Q735" i="7"/>
  <c r="P735" i="7"/>
  <c r="O735" i="7"/>
  <c r="N735" i="7"/>
  <c r="M735" i="7"/>
  <c r="L735" i="7"/>
  <c r="S734" i="7"/>
  <c r="R734" i="7"/>
  <c r="R732" i="7" s="1"/>
  <c r="Q734" i="7"/>
  <c r="Q732" i="7" s="1"/>
  <c r="P734" i="7"/>
  <c r="O734" i="7"/>
  <c r="U733" i="7"/>
  <c r="T733" i="7"/>
  <c r="P733" i="7"/>
  <c r="O733" i="7"/>
  <c r="N732" i="7"/>
  <c r="M732" i="7"/>
  <c r="P732" i="7" s="1"/>
  <c r="L732" i="7"/>
  <c r="O732" i="7" s="1"/>
  <c r="P731" i="7"/>
  <c r="O731" i="7"/>
  <c r="N731" i="7"/>
  <c r="M731" i="7"/>
  <c r="L731" i="7"/>
  <c r="U730" i="7"/>
  <c r="T730" i="7"/>
  <c r="S730" i="7"/>
  <c r="R730" i="7"/>
  <c r="Q730" i="7"/>
  <c r="O730" i="7"/>
  <c r="N730" i="7"/>
  <c r="N729" i="7" s="1"/>
  <c r="M730" i="7"/>
  <c r="P730" i="7" s="1"/>
  <c r="L730" i="7"/>
  <c r="M729" i="7"/>
  <c r="P729" i="7" s="1"/>
  <c r="L729" i="7"/>
  <c r="O729" i="7" s="1"/>
  <c r="J728" i="7"/>
  <c r="I728" i="7"/>
  <c r="K728" i="7" s="1"/>
  <c r="J727" i="7"/>
  <c r="I727" i="7"/>
  <c r="U723" i="7"/>
  <c r="T723" i="7"/>
  <c r="P723" i="7"/>
  <c r="O723" i="7"/>
  <c r="U722" i="7"/>
  <c r="T722" i="7"/>
  <c r="P722" i="7"/>
  <c r="O722" i="7"/>
  <c r="S721" i="7"/>
  <c r="R721" i="7"/>
  <c r="U721" i="7" s="1"/>
  <c r="Q721" i="7"/>
  <c r="T721" i="7" s="1"/>
  <c r="N721" i="7"/>
  <c r="M721" i="7"/>
  <c r="P721" i="7" s="1"/>
  <c r="L721" i="7"/>
  <c r="O721" i="7" s="1"/>
  <c r="U720" i="7"/>
  <c r="T720" i="7"/>
  <c r="P720" i="7"/>
  <c r="O720" i="7"/>
  <c r="U719" i="7"/>
  <c r="T719" i="7"/>
  <c r="P719" i="7"/>
  <c r="O719" i="7"/>
  <c r="S718" i="7"/>
  <c r="R718" i="7"/>
  <c r="U718" i="7" s="1"/>
  <c r="Q718" i="7"/>
  <c r="T718" i="7" s="1"/>
  <c r="N718" i="7"/>
  <c r="M718" i="7"/>
  <c r="P718" i="7" s="1"/>
  <c r="L718" i="7"/>
  <c r="O718" i="7" s="1"/>
  <c r="U717" i="7"/>
  <c r="S717" i="7"/>
  <c r="R717" i="7"/>
  <c r="Q717" i="7"/>
  <c r="T717" i="7" s="1"/>
  <c r="P717" i="7"/>
  <c r="O717" i="7"/>
  <c r="N717" i="7"/>
  <c r="M717" i="7"/>
  <c r="L717" i="7"/>
  <c r="U716" i="7"/>
  <c r="T716" i="7"/>
  <c r="S716" i="7"/>
  <c r="R716" i="7"/>
  <c r="Q716" i="7"/>
  <c r="O716" i="7"/>
  <c r="N716" i="7"/>
  <c r="N715" i="7" s="1"/>
  <c r="M716" i="7"/>
  <c r="P716" i="7" s="1"/>
  <c r="L716" i="7"/>
  <c r="S715" i="7"/>
  <c r="R715" i="7"/>
  <c r="U715" i="7" s="1"/>
  <c r="M715" i="7"/>
  <c r="P715" i="7" s="1"/>
  <c r="L715" i="7"/>
  <c r="O715" i="7" s="1"/>
  <c r="K713" i="7"/>
  <c r="J713" i="7"/>
  <c r="K711" i="7"/>
  <c r="J711" i="7"/>
  <c r="J710" i="7"/>
  <c r="I710" i="7"/>
  <c r="K709" i="7"/>
  <c r="J709" i="7"/>
  <c r="J708" i="7"/>
  <c r="J690" i="7" s="1"/>
  <c r="I708" i="7"/>
  <c r="K707" i="7"/>
  <c r="J707" i="7"/>
  <c r="J706" i="7"/>
  <c r="I706" i="7"/>
  <c r="K705" i="7"/>
  <c r="J705" i="7"/>
  <c r="J704" i="7"/>
  <c r="I704" i="7"/>
  <c r="K703" i="7"/>
  <c r="I701" i="7"/>
  <c r="K701" i="7" s="1"/>
  <c r="U699" i="7"/>
  <c r="T699" i="7"/>
  <c r="P699" i="7"/>
  <c r="O699" i="7"/>
  <c r="U698" i="7"/>
  <c r="T698" i="7"/>
  <c r="P698" i="7"/>
  <c r="O698" i="7"/>
  <c r="S697" i="7"/>
  <c r="R697" i="7"/>
  <c r="U697" i="7" s="1"/>
  <c r="Q697" i="7"/>
  <c r="T697" i="7" s="1"/>
  <c r="P697" i="7"/>
  <c r="N697" i="7"/>
  <c r="M697" i="7"/>
  <c r="L697" i="7"/>
  <c r="O697" i="7" s="1"/>
  <c r="S696" i="7"/>
  <c r="S693" i="7" s="1"/>
  <c r="R696" i="7"/>
  <c r="R694" i="7" s="1"/>
  <c r="Q696" i="7"/>
  <c r="Q694" i="7" s="1"/>
  <c r="P696" i="7"/>
  <c r="O696" i="7"/>
  <c r="U695" i="7"/>
  <c r="T695" i="7"/>
  <c r="P695" i="7"/>
  <c r="O695" i="7"/>
  <c r="O694" i="7"/>
  <c r="N694" i="7"/>
  <c r="M694" i="7"/>
  <c r="P694" i="7" s="1"/>
  <c r="L694" i="7"/>
  <c r="N693" i="7"/>
  <c r="M693" i="7"/>
  <c r="P693" i="7" s="1"/>
  <c r="L693" i="7"/>
  <c r="S692" i="7"/>
  <c r="R692" i="7"/>
  <c r="U692" i="7" s="1"/>
  <c r="Q692" i="7"/>
  <c r="P692" i="7"/>
  <c r="N692" i="7"/>
  <c r="M692" i="7"/>
  <c r="M691" i="7" s="1"/>
  <c r="P691" i="7" s="1"/>
  <c r="L692" i="7"/>
  <c r="O692" i="7" s="1"/>
  <c r="N691" i="7"/>
  <c r="J683" i="7"/>
  <c r="I683" i="7"/>
  <c r="K683" i="7" s="1"/>
  <c r="J682" i="7"/>
  <c r="I682" i="7"/>
  <c r="K682" i="7" s="1"/>
  <c r="J681" i="7"/>
  <c r="J680" i="7"/>
  <c r="I680" i="7"/>
  <c r="K680" i="7" s="1"/>
  <c r="J679" i="7"/>
  <c r="I679" i="7"/>
  <c r="K679" i="7" s="1"/>
  <c r="J678" i="7"/>
  <c r="J677" i="7"/>
  <c r="I677" i="7"/>
  <c r="K677" i="7" s="1"/>
  <c r="I676" i="7"/>
  <c r="K676" i="7" s="1"/>
  <c r="I675" i="7"/>
  <c r="K675" i="7" s="1"/>
  <c r="J674" i="7"/>
  <c r="I674" i="7"/>
  <c r="K674" i="7" s="1"/>
  <c r="J673" i="7"/>
  <c r="J672" i="7"/>
  <c r="J662" i="7"/>
  <c r="I662" i="7"/>
  <c r="K662" i="7" s="1"/>
  <c r="I661" i="7"/>
  <c r="I658" i="7"/>
  <c r="J655" i="7"/>
  <c r="I655" i="7"/>
  <c r="K655" i="7" s="1"/>
  <c r="J654" i="7"/>
  <c r="I654" i="7"/>
  <c r="K654" i="7" s="1"/>
  <c r="J653" i="7"/>
  <c r="I653" i="7"/>
  <c r="K653" i="7" s="1"/>
  <c r="U651" i="7"/>
  <c r="T651" i="7"/>
  <c r="P651" i="7"/>
  <c r="O651" i="7"/>
  <c r="U650" i="7"/>
  <c r="T650" i="7"/>
  <c r="P650" i="7"/>
  <c r="O650" i="7"/>
  <c r="S649" i="7"/>
  <c r="R649" i="7"/>
  <c r="U649" i="7" s="1"/>
  <c r="Q649" i="7"/>
  <c r="T649" i="7" s="1"/>
  <c r="N649" i="7"/>
  <c r="M649" i="7"/>
  <c r="P649" i="7" s="1"/>
  <c r="L649" i="7"/>
  <c r="O649" i="7" s="1"/>
  <c r="S648" i="7"/>
  <c r="S646" i="7" s="1"/>
  <c r="R648" i="7"/>
  <c r="R645" i="7" s="1"/>
  <c r="Q648" i="7"/>
  <c r="T648" i="7" s="1"/>
  <c r="P648" i="7"/>
  <c r="O648" i="7"/>
  <c r="U647" i="7"/>
  <c r="T647" i="7"/>
  <c r="P647" i="7"/>
  <c r="O647" i="7"/>
  <c r="P646" i="7"/>
  <c r="O646" i="7"/>
  <c r="N646" i="7"/>
  <c r="M646" i="7"/>
  <c r="L646" i="7"/>
  <c r="N645" i="7"/>
  <c r="M645" i="7"/>
  <c r="P645" i="7" s="1"/>
  <c r="L645" i="7"/>
  <c r="S644" i="7"/>
  <c r="R644" i="7"/>
  <c r="U644" i="7" s="1"/>
  <c r="Q644" i="7"/>
  <c r="P644" i="7"/>
  <c r="N644" i="7"/>
  <c r="M644" i="7"/>
  <c r="M643" i="7" s="1"/>
  <c r="P643" i="7" s="1"/>
  <c r="L644" i="7"/>
  <c r="O644" i="7" s="1"/>
  <c r="N643" i="7"/>
  <c r="J637" i="7"/>
  <c r="J636" i="7"/>
  <c r="I636" i="7"/>
  <c r="K636" i="7" s="1"/>
  <c r="J633" i="7"/>
  <c r="I629" i="7"/>
  <c r="K629" i="7" s="1"/>
  <c r="I628" i="7"/>
  <c r="K628" i="7" s="1"/>
  <c r="J627" i="7"/>
  <c r="I627" i="7"/>
  <c r="I616" i="7" s="1"/>
  <c r="K616" i="7" s="1"/>
  <c r="U625" i="7"/>
  <c r="T625" i="7"/>
  <c r="P625" i="7"/>
  <c r="O625" i="7"/>
  <c r="U624" i="7"/>
  <c r="T624" i="7"/>
  <c r="P624" i="7"/>
  <c r="O624" i="7"/>
  <c r="S623" i="7"/>
  <c r="R623" i="7"/>
  <c r="U623" i="7" s="1"/>
  <c r="Q623" i="7"/>
  <c r="T623" i="7" s="1"/>
  <c r="N623" i="7"/>
  <c r="M623" i="7"/>
  <c r="P623" i="7" s="1"/>
  <c r="L623" i="7"/>
  <c r="O623" i="7" s="1"/>
  <c r="S622" i="7"/>
  <c r="S619" i="7" s="1"/>
  <c r="S617" i="7" s="1"/>
  <c r="R622" i="7"/>
  <c r="R620" i="7" s="1"/>
  <c r="Q622" i="7"/>
  <c r="P622" i="7"/>
  <c r="O622" i="7"/>
  <c r="U621" i="7"/>
  <c r="T621" i="7"/>
  <c r="P621" i="7"/>
  <c r="O621" i="7"/>
  <c r="P620" i="7"/>
  <c r="O620" i="7"/>
  <c r="N620" i="7"/>
  <c r="M620" i="7"/>
  <c r="L620" i="7"/>
  <c r="N619" i="7"/>
  <c r="M619" i="7"/>
  <c r="L619" i="7"/>
  <c r="O619" i="7" s="1"/>
  <c r="S618" i="7"/>
  <c r="R618" i="7"/>
  <c r="Q618" i="7"/>
  <c r="N618" i="7"/>
  <c r="N617" i="7" s="1"/>
  <c r="M618" i="7"/>
  <c r="P618" i="7" s="1"/>
  <c r="L618" i="7"/>
  <c r="J616" i="7"/>
  <c r="U608" i="7"/>
  <c r="T608" i="7"/>
  <c r="P608" i="7"/>
  <c r="O608" i="7"/>
  <c r="U607" i="7"/>
  <c r="T607" i="7"/>
  <c r="P607" i="7"/>
  <c r="O607" i="7"/>
  <c r="S606" i="7"/>
  <c r="R606" i="7"/>
  <c r="U606" i="7" s="1"/>
  <c r="Q606" i="7"/>
  <c r="T606" i="7" s="1"/>
  <c r="N606" i="7"/>
  <c r="M606" i="7"/>
  <c r="P606" i="7" s="1"/>
  <c r="L606" i="7"/>
  <c r="O606" i="7" s="1"/>
  <c r="U605" i="7"/>
  <c r="T605" i="7"/>
  <c r="P605" i="7"/>
  <c r="O605" i="7"/>
  <c r="U604" i="7"/>
  <c r="T604" i="7"/>
  <c r="P604" i="7"/>
  <c r="O604" i="7"/>
  <c r="S603" i="7"/>
  <c r="R603" i="7"/>
  <c r="U603" i="7" s="1"/>
  <c r="Q603" i="7"/>
  <c r="T603" i="7" s="1"/>
  <c r="N603" i="7"/>
  <c r="M603" i="7"/>
  <c r="P603" i="7" s="1"/>
  <c r="L603" i="7"/>
  <c r="O603" i="7" s="1"/>
  <c r="S602" i="7"/>
  <c r="R602" i="7"/>
  <c r="U602" i="7" s="1"/>
  <c r="Q602" i="7"/>
  <c r="T602" i="7" s="1"/>
  <c r="P602" i="7"/>
  <c r="N602" i="7"/>
  <c r="M602" i="7"/>
  <c r="L602" i="7"/>
  <c r="O602" i="7" s="1"/>
  <c r="U601" i="7"/>
  <c r="T601" i="7"/>
  <c r="S601" i="7"/>
  <c r="R601" i="7"/>
  <c r="Q601" i="7"/>
  <c r="O601" i="7"/>
  <c r="N601" i="7"/>
  <c r="N600" i="7" s="1"/>
  <c r="M601" i="7"/>
  <c r="P601" i="7" s="1"/>
  <c r="L601" i="7"/>
  <c r="S600" i="7"/>
  <c r="R600" i="7"/>
  <c r="U600" i="7" s="1"/>
  <c r="M600" i="7"/>
  <c r="P600" i="7" s="1"/>
  <c r="L600" i="7"/>
  <c r="O600" i="7" s="1"/>
  <c r="U585" i="7"/>
  <c r="T585" i="7"/>
  <c r="P585" i="7"/>
  <c r="O585" i="7"/>
  <c r="U584" i="7"/>
  <c r="T584" i="7"/>
  <c r="P584" i="7"/>
  <c r="O584" i="7"/>
  <c r="T583" i="7"/>
  <c r="S583" i="7"/>
  <c r="R583" i="7"/>
  <c r="U583" i="7" s="1"/>
  <c r="Q583" i="7"/>
  <c r="N583" i="7"/>
  <c r="M583" i="7"/>
  <c r="P583" i="7" s="1"/>
  <c r="L583" i="7"/>
  <c r="O583" i="7" s="1"/>
  <c r="U582" i="7"/>
  <c r="T582" i="7"/>
  <c r="P582" i="7"/>
  <c r="O582" i="7"/>
  <c r="U581" i="7"/>
  <c r="T581" i="7"/>
  <c r="P581" i="7"/>
  <c r="O581" i="7"/>
  <c r="S580" i="7"/>
  <c r="R580" i="7"/>
  <c r="U580" i="7" s="1"/>
  <c r="Q580" i="7"/>
  <c r="T580" i="7" s="1"/>
  <c r="N580" i="7"/>
  <c r="M580" i="7"/>
  <c r="P580" i="7" s="1"/>
  <c r="L580" i="7"/>
  <c r="O580" i="7" s="1"/>
  <c r="S579" i="7"/>
  <c r="R579" i="7"/>
  <c r="U579" i="7" s="1"/>
  <c r="Q579" i="7"/>
  <c r="P579" i="7"/>
  <c r="N579" i="7"/>
  <c r="M579" i="7"/>
  <c r="L579" i="7"/>
  <c r="O579" i="7" s="1"/>
  <c r="U578" i="7"/>
  <c r="T578" i="7"/>
  <c r="S578" i="7"/>
  <c r="R578" i="7"/>
  <c r="Q578" i="7"/>
  <c r="P578" i="7"/>
  <c r="O578" i="7"/>
  <c r="N578" i="7"/>
  <c r="N577" i="7" s="1"/>
  <c r="M578" i="7"/>
  <c r="L578" i="7"/>
  <c r="S577" i="7"/>
  <c r="R577" i="7"/>
  <c r="U577" i="7" s="1"/>
  <c r="M577" i="7"/>
  <c r="P577" i="7" s="1"/>
  <c r="L577" i="7"/>
  <c r="O577" i="7" s="1"/>
  <c r="J576" i="7"/>
  <c r="I576" i="7"/>
  <c r="K576" i="7" s="1"/>
  <c r="U564" i="7"/>
  <c r="T564" i="7"/>
  <c r="P564" i="7"/>
  <c r="O564" i="7"/>
  <c r="U563" i="7"/>
  <c r="T563" i="7"/>
  <c r="P563" i="7"/>
  <c r="O563" i="7"/>
  <c r="U562" i="7"/>
  <c r="S562" i="7"/>
  <c r="R562" i="7"/>
  <c r="Q562" i="7"/>
  <c r="T562" i="7" s="1"/>
  <c r="P562" i="7"/>
  <c r="O562" i="7"/>
  <c r="N562" i="7"/>
  <c r="M562" i="7"/>
  <c r="L562" i="7"/>
  <c r="U561" i="7"/>
  <c r="T561" i="7"/>
  <c r="P561" i="7"/>
  <c r="O561" i="7"/>
  <c r="U560" i="7"/>
  <c r="T560" i="7"/>
  <c r="P560" i="7"/>
  <c r="O560" i="7"/>
  <c r="U559" i="7"/>
  <c r="S559" i="7"/>
  <c r="R559" i="7"/>
  <c r="Q559" i="7"/>
  <c r="T559" i="7" s="1"/>
  <c r="P559" i="7"/>
  <c r="O559" i="7"/>
  <c r="N559" i="7"/>
  <c r="M559" i="7"/>
  <c r="L559" i="7"/>
  <c r="U558" i="7"/>
  <c r="T558" i="7"/>
  <c r="S558" i="7"/>
  <c r="S556" i="7" s="1"/>
  <c r="R558" i="7"/>
  <c r="Q558" i="7"/>
  <c r="O558" i="7"/>
  <c r="N558" i="7"/>
  <c r="N556" i="7" s="1"/>
  <c r="M558" i="7"/>
  <c r="L558" i="7"/>
  <c r="S557" i="7"/>
  <c r="R557" i="7"/>
  <c r="Q557" i="7"/>
  <c r="N557" i="7"/>
  <c r="M557" i="7"/>
  <c r="P557" i="7" s="1"/>
  <c r="L557" i="7"/>
  <c r="J555" i="7"/>
  <c r="I555" i="7"/>
  <c r="K555" i="7" s="1"/>
  <c r="U543" i="7"/>
  <c r="T543" i="7"/>
  <c r="P543" i="7"/>
  <c r="O543" i="7"/>
  <c r="U542" i="7"/>
  <c r="T542" i="7"/>
  <c r="P542" i="7"/>
  <c r="O542" i="7"/>
  <c r="S541" i="7"/>
  <c r="R541" i="7"/>
  <c r="U541" i="7" s="1"/>
  <c r="Q541" i="7"/>
  <c r="T541" i="7" s="1"/>
  <c r="N541" i="7"/>
  <c r="M541" i="7"/>
  <c r="P541" i="7" s="1"/>
  <c r="L541" i="7"/>
  <c r="O541" i="7" s="1"/>
  <c r="U540" i="7"/>
  <c r="T540" i="7"/>
  <c r="P540" i="7"/>
  <c r="O540" i="7"/>
  <c r="U539" i="7"/>
  <c r="T539" i="7"/>
  <c r="P539" i="7"/>
  <c r="O539" i="7"/>
  <c r="S538" i="7"/>
  <c r="R538" i="7"/>
  <c r="U538" i="7" s="1"/>
  <c r="Q538" i="7"/>
  <c r="T538" i="7" s="1"/>
  <c r="N538" i="7"/>
  <c r="M538" i="7"/>
  <c r="P538" i="7" s="1"/>
  <c r="L538" i="7"/>
  <c r="O538" i="7" s="1"/>
  <c r="S537" i="7"/>
  <c r="R537" i="7"/>
  <c r="U537" i="7" s="1"/>
  <c r="Q537" i="7"/>
  <c r="P537" i="7"/>
  <c r="N537" i="7"/>
  <c r="M537" i="7"/>
  <c r="L537" i="7"/>
  <c r="O537" i="7" s="1"/>
  <c r="U536" i="7"/>
  <c r="T536" i="7"/>
  <c r="S536" i="7"/>
  <c r="R536" i="7"/>
  <c r="Q536" i="7"/>
  <c r="O536" i="7"/>
  <c r="N536" i="7"/>
  <c r="N535" i="7" s="1"/>
  <c r="M536" i="7"/>
  <c r="P536" i="7" s="1"/>
  <c r="L536" i="7"/>
  <c r="S535" i="7"/>
  <c r="R535" i="7"/>
  <c r="U535" i="7" s="1"/>
  <c r="M535" i="7"/>
  <c r="P535" i="7" s="1"/>
  <c r="L535" i="7"/>
  <c r="O535" i="7" s="1"/>
  <c r="J534" i="7"/>
  <c r="I534" i="7"/>
  <c r="K534" i="7" s="1"/>
  <c r="K525" i="7"/>
  <c r="K524" i="7"/>
  <c r="U522" i="7"/>
  <c r="T522" i="7"/>
  <c r="N522" i="7"/>
  <c r="N520" i="7" s="1"/>
  <c r="M522" i="7"/>
  <c r="L522" i="7"/>
  <c r="U521" i="7"/>
  <c r="T521" i="7"/>
  <c r="P521" i="7"/>
  <c r="O521" i="7"/>
  <c r="U520" i="7"/>
  <c r="T520" i="7"/>
  <c r="S520" i="7"/>
  <c r="R520" i="7"/>
  <c r="Q520" i="7"/>
  <c r="U519" i="7"/>
  <c r="T519" i="7"/>
  <c r="N519" i="7"/>
  <c r="N517" i="7" s="1"/>
  <c r="M519" i="7"/>
  <c r="M517" i="7" s="1"/>
  <c r="P517" i="7" s="1"/>
  <c r="L519" i="7"/>
  <c r="O519" i="7" s="1"/>
  <c r="U518" i="7"/>
  <c r="T518" i="7"/>
  <c r="P518" i="7"/>
  <c r="O518" i="7"/>
  <c r="S517" i="7"/>
  <c r="R517" i="7"/>
  <c r="U517" i="7" s="1"/>
  <c r="Q517" i="7"/>
  <c r="T517" i="7" s="1"/>
  <c r="U516" i="7"/>
  <c r="S516" i="7"/>
  <c r="R516" i="7"/>
  <c r="Q516" i="7"/>
  <c r="T516" i="7" s="1"/>
  <c r="T515" i="7"/>
  <c r="S515" i="7"/>
  <c r="S514" i="7" s="1"/>
  <c r="R515" i="7"/>
  <c r="U515" i="7" s="1"/>
  <c r="Q515" i="7"/>
  <c r="N515" i="7"/>
  <c r="M515" i="7"/>
  <c r="L515" i="7"/>
  <c r="O515" i="7" s="1"/>
  <c r="R514" i="7"/>
  <c r="U514" i="7" s="1"/>
  <c r="Q514" i="7"/>
  <c r="T514" i="7" s="1"/>
  <c r="K513" i="7"/>
  <c r="J513" i="7"/>
  <c r="I513" i="7"/>
  <c r="I510" i="7"/>
  <c r="K510" i="7" s="1"/>
  <c r="K509" i="7"/>
  <c r="I508" i="7"/>
  <c r="K508" i="7" s="1"/>
  <c r="I507" i="7"/>
  <c r="K507" i="7" s="1"/>
  <c r="I506" i="7"/>
  <c r="I505" i="7"/>
  <c r="K505" i="7" s="1"/>
  <c r="I504" i="7"/>
  <c r="K504" i="7" s="1"/>
  <c r="U502" i="7"/>
  <c r="T502" i="7"/>
  <c r="P502" i="7"/>
  <c r="O502" i="7"/>
  <c r="U501" i="7"/>
  <c r="T501" i="7"/>
  <c r="P501" i="7"/>
  <c r="O501" i="7"/>
  <c r="S500" i="7"/>
  <c r="R500" i="7"/>
  <c r="U500" i="7" s="1"/>
  <c r="Q500" i="7"/>
  <c r="T500" i="7" s="1"/>
  <c r="P500" i="7"/>
  <c r="O500" i="7"/>
  <c r="N500" i="7"/>
  <c r="M500" i="7"/>
  <c r="L500" i="7"/>
  <c r="S499" i="7"/>
  <c r="S497" i="7" s="1"/>
  <c r="R499" i="7"/>
  <c r="U499" i="7" s="1"/>
  <c r="Q499" i="7"/>
  <c r="Q497" i="7" s="1"/>
  <c r="T497" i="7" s="1"/>
  <c r="P499" i="7"/>
  <c r="O499" i="7"/>
  <c r="U498" i="7"/>
  <c r="T498" i="7"/>
  <c r="P498" i="7"/>
  <c r="O498" i="7"/>
  <c r="N497" i="7"/>
  <c r="M497" i="7"/>
  <c r="P497" i="7" s="1"/>
  <c r="L497" i="7"/>
  <c r="O497" i="7" s="1"/>
  <c r="P496" i="7"/>
  <c r="N496" i="7"/>
  <c r="M496" i="7"/>
  <c r="L496" i="7"/>
  <c r="U495" i="7"/>
  <c r="T495" i="7"/>
  <c r="S495" i="7"/>
  <c r="R495" i="7"/>
  <c r="Q495" i="7"/>
  <c r="P495" i="7"/>
  <c r="O495" i="7"/>
  <c r="N495" i="7"/>
  <c r="M495" i="7"/>
  <c r="L495" i="7"/>
  <c r="N494" i="7"/>
  <c r="M494" i="7"/>
  <c r="P494" i="7" s="1"/>
  <c r="K486" i="7"/>
  <c r="J486" i="7"/>
  <c r="I486" i="7"/>
  <c r="K485" i="7"/>
  <c r="J485" i="7"/>
  <c r="I485" i="7"/>
  <c r="J484" i="7"/>
  <c r="J483" i="7"/>
  <c r="K478" i="7"/>
  <c r="J478" i="7"/>
  <c r="K477" i="7"/>
  <c r="J477" i="7"/>
  <c r="K476" i="7"/>
  <c r="J476" i="7"/>
  <c r="J469" i="7"/>
  <c r="J468" i="7"/>
  <c r="J461" i="7"/>
  <c r="J460" i="7"/>
  <c r="J459" i="7"/>
  <c r="I459" i="7"/>
  <c r="K459" i="7" s="1"/>
  <c r="J458" i="7"/>
  <c r="I458" i="7"/>
  <c r="I457" i="7" s="1"/>
  <c r="K457" i="7" s="1"/>
  <c r="J457" i="7"/>
  <c r="J448" i="7"/>
  <c r="J447" i="7"/>
  <c r="J442" i="7"/>
  <c r="I442" i="7"/>
  <c r="K442" i="7" s="1"/>
  <c r="J441" i="7"/>
  <c r="I441" i="7"/>
  <c r="K441" i="7" s="1"/>
  <c r="J434" i="7"/>
  <c r="I434" i="7"/>
  <c r="K434" i="7" s="1"/>
  <c r="J433" i="7"/>
  <c r="I433" i="7"/>
  <c r="K433" i="7" s="1"/>
  <c r="J426" i="7"/>
  <c r="I426" i="7"/>
  <c r="K426" i="7" s="1"/>
  <c r="J425" i="7"/>
  <c r="I425" i="7"/>
  <c r="K425" i="7" s="1"/>
  <c r="J424" i="7"/>
  <c r="J413" i="7" s="1"/>
  <c r="U422" i="7"/>
  <c r="T422" i="7"/>
  <c r="P422" i="7"/>
  <c r="O422" i="7"/>
  <c r="U421" i="7"/>
  <c r="T421" i="7"/>
  <c r="P421" i="7"/>
  <c r="O421" i="7"/>
  <c r="S420" i="7"/>
  <c r="R420" i="7"/>
  <c r="U420" i="7" s="1"/>
  <c r="Q420" i="7"/>
  <c r="T420" i="7" s="1"/>
  <c r="N420" i="7"/>
  <c r="M420" i="7"/>
  <c r="P420" i="7" s="1"/>
  <c r="L420" i="7"/>
  <c r="O420" i="7" s="1"/>
  <c r="S419" i="7"/>
  <c r="S417" i="7" s="1"/>
  <c r="R419" i="7"/>
  <c r="U419" i="7" s="1"/>
  <c r="Q419" i="7"/>
  <c r="P419" i="7"/>
  <c r="O419" i="7"/>
  <c r="U418" i="7"/>
  <c r="T418" i="7"/>
  <c r="P418" i="7"/>
  <c r="O418" i="7"/>
  <c r="P417" i="7"/>
  <c r="O417" i="7"/>
  <c r="N417" i="7"/>
  <c r="M417" i="7"/>
  <c r="L417" i="7"/>
  <c r="N416" i="7"/>
  <c r="N414" i="7" s="1"/>
  <c r="M416" i="7"/>
  <c r="L416" i="7"/>
  <c r="O416" i="7" s="1"/>
  <c r="S415" i="7"/>
  <c r="R415" i="7"/>
  <c r="Q415" i="7"/>
  <c r="P415" i="7"/>
  <c r="N415" i="7"/>
  <c r="M415" i="7"/>
  <c r="L415" i="7"/>
  <c r="U401" i="7"/>
  <c r="T401" i="7"/>
  <c r="P401" i="7"/>
  <c r="O401" i="7"/>
  <c r="U400" i="7"/>
  <c r="T400" i="7"/>
  <c r="P400" i="7"/>
  <c r="O400" i="7"/>
  <c r="S399" i="7"/>
  <c r="R399" i="7"/>
  <c r="U399" i="7" s="1"/>
  <c r="Q399" i="7"/>
  <c r="T399" i="7" s="1"/>
  <c r="N399" i="7"/>
  <c r="M399" i="7"/>
  <c r="P399" i="7" s="1"/>
  <c r="L399" i="7"/>
  <c r="O399" i="7" s="1"/>
  <c r="U398" i="7"/>
  <c r="T398" i="7"/>
  <c r="P398" i="7"/>
  <c r="O398" i="7"/>
  <c r="U397" i="7"/>
  <c r="T397" i="7"/>
  <c r="P397" i="7"/>
  <c r="O397" i="7"/>
  <c r="S396" i="7"/>
  <c r="R396" i="7"/>
  <c r="U396" i="7" s="1"/>
  <c r="Q396" i="7"/>
  <c r="T396" i="7" s="1"/>
  <c r="N396" i="7"/>
  <c r="M396" i="7"/>
  <c r="P396" i="7" s="1"/>
  <c r="L396" i="7"/>
  <c r="O396" i="7" s="1"/>
  <c r="U395" i="7"/>
  <c r="S395" i="7"/>
  <c r="R395" i="7"/>
  <c r="Q395" i="7"/>
  <c r="P395" i="7"/>
  <c r="O395" i="7"/>
  <c r="N395" i="7"/>
  <c r="M395" i="7"/>
  <c r="L395" i="7"/>
  <c r="U394" i="7"/>
  <c r="T394" i="7"/>
  <c r="S394" i="7"/>
  <c r="R394" i="7"/>
  <c r="Q394" i="7"/>
  <c r="O394" i="7"/>
  <c r="N394" i="7"/>
  <c r="N393" i="7" s="1"/>
  <c r="M394" i="7"/>
  <c r="P394" i="7" s="1"/>
  <c r="L394" i="7"/>
  <c r="S393" i="7"/>
  <c r="R393" i="7"/>
  <c r="U393" i="7" s="1"/>
  <c r="M393" i="7"/>
  <c r="P393" i="7" s="1"/>
  <c r="L393" i="7"/>
  <c r="O393" i="7" s="1"/>
  <c r="K392" i="7"/>
  <c r="J392" i="7"/>
  <c r="I392" i="7"/>
  <c r="J389" i="7"/>
  <c r="I389" i="7"/>
  <c r="K389" i="7" s="1"/>
  <c r="K388" i="7"/>
  <c r="J388" i="7"/>
  <c r="J387" i="7"/>
  <c r="I387" i="7"/>
  <c r="K386" i="7"/>
  <c r="J386" i="7"/>
  <c r="U384" i="7"/>
  <c r="T384" i="7"/>
  <c r="P384" i="7"/>
  <c r="O384" i="7"/>
  <c r="U383" i="7"/>
  <c r="T383" i="7"/>
  <c r="P383" i="7"/>
  <c r="O383" i="7"/>
  <c r="T382" i="7"/>
  <c r="S382" i="7"/>
  <c r="R382" i="7"/>
  <c r="U382" i="7" s="1"/>
  <c r="Q382" i="7"/>
  <c r="N382" i="7"/>
  <c r="M382" i="7"/>
  <c r="P382" i="7" s="1"/>
  <c r="L382" i="7"/>
  <c r="O382" i="7" s="1"/>
  <c r="S381" i="7"/>
  <c r="S379" i="7" s="1"/>
  <c r="R381" i="7"/>
  <c r="U381" i="7" s="1"/>
  <c r="Q381" i="7"/>
  <c r="Q379" i="7" s="1"/>
  <c r="P381" i="7"/>
  <c r="O381" i="7"/>
  <c r="U380" i="7"/>
  <c r="T380" i="7"/>
  <c r="P380" i="7"/>
  <c r="O380" i="7"/>
  <c r="O379" i="7"/>
  <c r="N379" i="7"/>
  <c r="M379" i="7"/>
  <c r="P379" i="7" s="1"/>
  <c r="L379" i="7"/>
  <c r="N378" i="7"/>
  <c r="M378" i="7"/>
  <c r="P378" i="7" s="1"/>
  <c r="L378" i="7"/>
  <c r="U377" i="7"/>
  <c r="S377" i="7"/>
  <c r="R377" i="7"/>
  <c r="Q377" i="7"/>
  <c r="T377" i="7" s="1"/>
  <c r="P377" i="7"/>
  <c r="O377" i="7"/>
  <c r="N377" i="7"/>
  <c r="M377" i="7"/>
  <c r="L377" i="7"/>
  <c r="N376" i="7"/>
  <c r="M376" i="7"/>
  <c r="P376" i="7" s="1"/>
  <c r="D374" i="7"/>
  <c r="K373" i="7"/>
  <c r="J373" i="7"/>
  <c r="J372" i="7"/>
  <c r="J366" i="7" s="1"/>
  <c r="I372" i="7"/>
  <c r="I366" i="7" s="1"/>
  <c r="K371" i="7"/>
  <c r="J371" i="7"/>
  <c r="J370" i="7"/>
  <c r="I370" i="7"/>
  <c r="J369" i="7"/>
  <c r="I369" i="7"/>
  <c r="K368" i="7"/>
  <c r="J368" i="7"/>
  <c r="U365" i="7"/>
  <c r="T365" i="7"/>
  <c r="N365" i="7"/>
  <c r="N363" i="7" s="1"/>
  <c r="M365" i="7"/>
  <c r="L365" i="7"/>
  <c r="U364" i="7"/>
  <c r="T364" i="7"/>
  <c r="P364" i="7"/>
  <c r="O364" i="7"/>
  <c r="U363" i="7"/>
  <c r="T363" i="7"/>
  <c r="S363" i="7"/>
  <c r="R363" i="7"/>
  <c r="Q363" i="7"/>
  <c r="U362" i="7"/>
  <c r="T362" i="7"/>
  <c r="N362" i="7"/>
  <c r="N360" i="7" s="1"/>
  <c r="M362" i="7"/>
  <c r="M360" i="7" s="1"/>
  <c r="L362" i="7"/>
  <c r="U361" i="7"/>
  <c r="T361" i="7"/>
  <c r="P361" i="7"/>
  <c r="O361" i="7"/>
  <c r="S360" i="7"/>
  <c r="R360" i="7"/>
  <c r="U360" i="7" s="1"/>
  <c r="Q360" i="7"/>
  <c r="T360" i="7" s="1"/>
  <c r="U359" i="7"/>
  <c r="S359" i="7"/>
  <c r="R359" i="7"/>
  <c r="Q359" i="7"/>
  <c r="T359" i="7" s="1"/>
  <c r="U358" i="7"/>
  <c r="T358" i="7"/>
  <c r="S358" i="7"/>
  <c r="S357" i="7" s="1"/>
  <c r="R358" i="7"/>
  <c r="Q358" i="7"/>
  <c r="O358" i="7"/>
  <c r="N358" i="7"/>
  <c r="M358" i="7"/>
  <c r="L358" i="7"/>
  <c r="R357" i="7"/>
  <c r="U357" i="7" s="1"/>
  <c r="Q357" i="7"/>
  <c r="T357" i="7" s="1"/>
  <c r="D355" i="7"/>
  <c r="J354" i="7"/>
  <c r="J353" i="7"/>
  <c r="D351" i="7"/>
  <c r="J350" i="7"/>
  <c r="J349" i="7"/>
  <c r="J348" i="7"/>
  <c r="J347" i="7"/>
  <c r="I347" i="7"/>
  <c r="J345" i="7"/>
  <c r="I345" i="7"/>
  <c r="I333" i="7" s="1"/>
  <c r="U342" i="7"/>
  <c r="T342" i="7"/>
  <c r="N342" i="7"/>
  <c r="N340" i="7" s="1"/>
  <c r="M342" i="7"/>
  <c r="P342" i="7" s="1"/>
  <c r="L342" i="7"/>
  <c r="O342" i="7" s="1"/>
  <c r="U341" i="7"/>
  <c r="T341" i="7"/>
  <c r="P341" i="7"/>
  <c r="O341" i="7"/>
  <c r="S340" i="7"/>
  <c r="R340" i="7"/>
  <c r="U340" i="7" s="1"/>
  <c r="Q340" i="7"/>
  <c r="T340" i="7" s="1"/>
  <c r="U339" i="7"/>
  <c r="T339" i="7"/>
  <c r="N339" i="7"/>
  <c r="M339" i="7"/>
  <c r="L339" i="7"/>
  <c r="U338" i="7"/>
  <c r="T338" i="7"/>
  <c r="P338" i="7"/>
  <c r="O338" i="7"/>
  <c r="U337" i="7"/>
  <c r="T337" i="7"/>
  <c r="S337" i="7"/>
  <c r="R337" i="7"/>
  <c r="Q337" i="7"/>
  <c r="T336" i="7"/>
  <c r="S336" i="7"/>
  <c r="S334" i="7" s="1"/>
  <c r="R336" i="7"/>
  <c r="U336" i="7" s="1"/>
  <c r="Q336" i="7"/>
  <c r="S335" i="7"/>
  <c r="R335" i="7"/>
  <c r="Q335" i="7"/>
  <c r="P335" i="7"/>
  <c r="N335" i="7"/>
  <c r="M335" i="7"/>
  <c r="L335" i="7"/>
  <c r="I331" i="7"/>
  <c r="K331" i="7" s="1"/>
  <c r="U329" i="7"/>
  <c r="T329" i="7"/>
  <c r="N329" i="7"/>
  <c r="M329" i="7"/>
  <c r="M327" i="7" s="1"/>
  <c r="P327" i="7" s="1"/>
  <c r="L329" i="7"/>
  <c r="O329" i="7" s="1"/>
  <c r="U328" i="7"/>
  <c r="T328" i="7"/>
  <c r="P328" i="7"/>
  <c r="O328" i="7"/>
  <c r="S327" i="7"/>
  <c r="R327" i="7"/>
  <c r="U327" i="7" s="1"/>
  <c r="Q327" i="7"/>
  <c r="T327" i="7" s="1"/>
  <c r="U326" i="7"/>
  <c r="T326" i="7"/>
  <c r="N326" i="7"/>
  <c r="N324" i="7" s="1"/>
  <c r="M326" i="7"/>
  <c r="L326" i="7"/>
  <c r="U325" i="7"/>
  <c r="T325" i="7"/>
  <c r="P325" i="7"/>
  <c r="O325" i="7"/>
  <c r="U324" i="7"/>
  <c r="T324" i="7"/>
  <c r="S324" i="7"/>
  <c r="R324" i="7"/>
  <c r="Q324" i="7"/>
  <c r="S323" i="7"/>
  <c r="R323" i="7"/>
  <c r="Q323" i="7"/>
  <c r="T323" i="7" s="1"/>
  <c r="U322" i="7"/>
  <c r="S322" i="7"/>
  <c r="R322" i="7"/>
  <c r="Q322" i="7"/>
  <c r="P322" i="7"/>
  <c r="O322" i="7"/>
  <c r="N322" i="7"/>
  <c r="M322" i="7"/>
  <c r="L322" i="7"/>
  <c r="S321" i="7"/>
  <c r="J320" i="7"/>
  <c r="I315" i="7"/>
  <c r="K315" i="7" s="1"/>
  <c r="U312" i="7"/>
  <c r="T312" i="7"/>
  <c r="N312" i="7"/>
  <c r="N310" i="7" s="1"/>
  <c r="M312" i="7"/>
  <c r="L312" i="7"/>
  <c r="L310" i="7" s="1"/>
  <c r="O310" i="7" s="1"/>
  <c r="U311" i="7"/>
  <c r="T311" i="7"/>
  <c r="P311" i="7"/>
  <c r="O311" i="7"/>
  <c r="U310" i="7"/>
  <c r="S310" i="7"/>
  <c r="R310" i="7"/>
  <c r="Q310" i="7"/>
  <c r="T310" i="7" s="1"/>
  <c r="S309" i="7"/>
  <c r="S307" i="7" s="1"/>
  <c r="R309" i="7"/>
  <c r="R307" i="7" s="1"/>
  <c r="Q309" i="7"/>
  <c r="Q307" i="7" s="1"/>
  <c r="N309" i="7"/>
  <c r="M309" i="7"/>
  <c r="L309" i="7"/>
  <c r="L307" i="7" s="1"/>
  <c r="O307" i="7" s="1"/>
  <c r="U308" i="7"/>
  <c r="T308" i="7"/>
  <c r="P308" i="7"/>
  <c r="O308" i="7"/>
  <c r="S305" i="7"/>
  <c r="R305" i="7"/>
  <c r="Q305" i="7"/>
  <c r="T305" i="7" s="1"/>
  <c r="N305" i="7"/>
  <c r="M305" i="7"/>
  <c r="L305" i="7"/>
  <c r="J303" i="7"/>
  <c r="I297" i="7"/>
  <c r="K297" i="7" s="1"/>
  <c r="I296" i="7"/>
  <c r="K296" i="7" s="1"/>
  <c r="J294" i="7"/>
  <c r="J281" i="7" s="1"/>
  <c r="I294" i="7"/>
  <c r="I281" i="7" s="1"/>
  <c r="K281" i="7" s="1"/>
  <c r="I293" i="7"/>
  <c r="K293" i="7" s="1"/>
  <c r="U291" i="7"/>
  <c r="T291" i="7"/>
  <c r="N291" i="7"/>
  <c r="N289" i="7" s="1"/>
  <c r="M291" i="7"/>
  <c r="P291" i="7" s="1"/>
  <c r="L291" i="7"/>
  <c r="L289" i="7" s="1"/>
  <c r="O289" i="7" s="1"/>
  <c r="U290" i="7"/>
  <c r="T290" i="7"/>
  <c r="P290" i="7"/>
  <c r="O290" i="7"/>
  <c r="T289" i="7"/>
  <c r="S289" i="7"/>
  <c r="R289" i="7"/>
  <c r="U289" i="7" s="1"/>
  <c r="Q289" i="7"/>
  <c r="U288" i="7"/>
  <c r="T288" i="7"/>
  <c r="N288" i="7"/>
  <c r="N286" i="7" s="1"/>
  <c r="M288" i="7"/>
  <c r="L288" i="7"/>
  <c r="L286" i="7" s="1"/>
  <c r="U287" i="7"/>
  <c r="T287" i="7"/>
  <c r="P287" i="7"/>
  <c r="O287" i="7"/>
  <c r="U286" i="7"/>
  <c r="S286" i="7"/>
  <c r="R286" i="7"/>
  <c r="Q286" i="7"/>
  <c r="T286" i="7" s="1"/>
  <c r="U285" i="7"/>
  <c r="T285" i="7"/>
  <c r="S285" i="7"/>
  <c r="R285" i="7"/>
  <c r="Q285" i="7"/>
  <c r="S284" i="7"/>
  <c r="S283" i="7" s="1"/>
  <c r="R284" i="7"/>
  <c r="Q284" i="7"/>
  <c r="N284" i="7"/>
  <c r="M284" i="7"/>
  <c r="L284" i="7"/>
  <c r="J282" i="7"/>
  <c r="I277" i="7"/>
  <c r="K277" i="7" s="1"/>
  <c r="U275" i="7"/>
  <c r="T275" i="7"/>
  <c r="N275" i="7"/>
  <c r="N273" i="7" s="1"/>
  <c r="M275" i="7"/>
  <c r="L275" i="7"/>
  <c r="U274" i="7"/>
  <c r="T274" i="7"/>
  <c r="P274" i="7"/>
  <c r="O274" i="7"/>
  <c r="U273" i="7"/>
  <c r="T273" i="7"/>
  <c r="S273" i="7"/>
  <c r="R273" i="7"/>
  <c r="Q273" i="7"/>
  <c r="S272" i="7"/>
  <c r="S270" i="7" s="1"/>
  <c r="R272" i="7"/>
  <c r="R269" i="7" s="1"/>
  <c r="Q272" i="7"/>
  <c r="Q270" i="7" s="1"/>
  <c r="N272" i="7"/>
  <c r="N270" i="7" s="1"/>
  <c r="M272" i="7"/>
  <c r="L272" i="7"/>
  <c r="U271" i="7"/>
  <c r="T271" i="7"/>
  <c r="P271" i="7"/>
  <c r="O271" i="7"/>
  <c r="S268" i="7"/>
  <c r="R268" i="7"/>
  <c r="Q268" i="7"/>
  <c r="P268" i="7"/>
  <c r="N268" i="7"/>
  <c r="M268" i="7"/>
  <c r="L268" i="7"/>
  <c r="J266" i="7"/>
  <c r="I264" i="7"/>
  <c r="K264" i="7" s="1"/>
  <c r="I263" i="7"/>
  <c r="K263" i="7" s="1"/>
  <c r="I261" i="7"/>
  <c r="L259" i="7"/>
  <c r="L258" i="7"/>
  <c r="L257" i="7"/>
  <c r="L256" i="7"/>
  <c r="P255" i="7"/>
  <c r="N255" i="7"/>
  <c r="J254" i="7"/>
  <c r="I253" i="7"/>
  <c r="K253" i="7" s="1"/>
  <c r="I252" i="7"/>
  <c r="I250" i="7"/>
  <c r="L248" i="7"/>
  <c r="L247" i="7"/>
  <c r="L246" i="7"/>
  <c r="L245" i="7"/>
  <c r="P244" i="7"/>
  <c r="N244" i="7"/>
  <c r="J243" i="7"/>
  <c r="J242" i="7"/>
  <c r="J241" i="7"/>
  <c r="J239" i="7"/>
  <c r="N237" i="7"/>
  <c r="N236" i="7"/>
  <c r="N235" i="7"/>
  <c r="N234" i="7"/>
  <c r="J232" i="7"/>
  <c r="I231" i="7"/>
  <c r="K231" i="7" s="1"/>
  <c r="I230" i="7"/>
  <c r="K230" i="7" s="1"/>
  <c r="I229" i="7"/>
  <c r="K229" i="7" s="1"/>
  <c r="L226" i="7"/>
  <c r="L225" i="7"/>
  <c r="L224" i="7"/>
  <c r="P223" i="7"/>
  <c r="N223" i="7"/>
  <c r="J222" i="7"/>
  <c r="I221" i="7"/>
  <c r="I220" i="7"/>
  <c r="K220" i="7" s="1"/>
  <c r="L218" i="7"/>
  <c r="L217" i="7"/>
  <c r="L216" i="7"/>
  <c r="P215" i="7"/>
  <c r="N215" i="7"/>
  <c r="J214" i="7"/>
  <c r="I213" i="7"/>
  <c r="K213" i="7" s="1"/>
  <c r="I212" i="7"/>
  <c r="K212" i="7" s="1"/>
  <c r="I210" i="7"/>
  <c r="L208" i="7"/>
  <c r="L207" i="7"/>
  <c r="L206" i="7"/>
  <c r="L205" i="7"/>
  <c r="P204" i="7"/>
  <c r="N204" i="7"/>
  <c r="J203" i="7"/>
  <c r="J200" i="7"/>
  <c r="I199" i="7"/>
  <c r="K199" i="7" s="1"/>
  <c r="P197" i="7"/>
  <c r="L197" i="7"/>
  <c r="O197" i="7" s="1"/>
  <c r="J196" i="7"/>
  <c r="U195" i="7"/>
  <c r="T195" i="7"/>
  <c r="N195" i="7"/>
  <c r="N193" i="7" s="1"/>
  <c r="M195" i="7"/>
  <c r="P195" i="7" s="1"/>
  <c r="L195" i="7"/>
  <c r="O195" i="7" s="1"/>
  <c r="U194" i="7"/>
  <c r="T194" i="7"/>
  <c r="P194" i="7"/>
  <c r="O194" i="7"/>
  <c r="T193" i="7"/>
  <c r="S193" i="7"/>
  <c r="R193" i="7"/>
  <c r="U193" i="7" s="1"/>
  <c r="Q193" i="7"/>
  <c r="S192" i="7"/>
  <c r="S190" i="7" s="1"/>
  <c r="R192" i="7"/>
  <c r="Q192" i="7"/>
  <c r="Q190" i="7" s="1"/>
  <c r="N192" i="7"/>
  <c r="N190" i="7" s="1"/>
  <c r="M192" i="7"/>
  <c r="L192" i="7"/>
  <c r="U191" i="7"/>
  <c r="T191" i="7"/>
  <c r="P191" i="7"/>
  <c r="O191" i="7"/>
  <c r="T188" i="7"/>
  <c r="S188" i="7"/>
  <c r="R188" i="7"/>
  <c r="Q188" i="7"/>
  <c r="N188" i="7"/>
  <c r="M188" i="7"/>
  <c r="L188" i="7"/>
  <c r="J186" i="7"/>
  <c r="K185" i="7"/>
  <c r="I184" i="7"/>
  <c r="K184" i="7" s="1"/>
  <c r="U182" i="7"/>
  <c r="T182" i="7"/>
  <c r="N182" i="7"/>
  <c r="N180" i="7" s="1"/>
  <c r="M182" i="7"/>
  <c r="L182" i="7"/>
  <c r="L180" i="7" s="1"/>
  <c r="O180" i="7" s="1"/>
  <c r="U181" i="7"/>
  <c r="T181" i="7"/>
  <c r="P181" i="7"/>
  <c r="O181" i="7"/>
  <c r="U180" i="7"/>
  <c r="S180" i="7"/>
  <c r="R180" i="7"/>
  <c r="Q180" i="7"/>
  <c r="T180" i="7" s="1"/>
  <c r="S179" i="7"/>
  <c r="S176" i="7" s="1"/>
  <c r="R179" i="7"/>
  <c r="Q179" i="7"/>
  <c r="T179" i="7" s="1"/>
  <c r="N179" i="7"/>
  <c r="M179" i="7"/>
  <c r="L179" i="7"/>
  <c r="U178" i="7"/>
  <c r="T178" i="7"/>
  <c r="P178" i="7"/>
  <c r="O178" i="7"/>
  <c r="S175" i="7"/>
  <c r="R175" i="7"/>
  <c r="Q175" i="7"/>
  <c r="N175" i="7"/>
  <c r="M175" i="7"/>
  <c r="L175" i="7"/>
  <c r="J173" i="7"/>
  <c r="I170" i="7"/>
  <c r="K170" i="7" s="1"/>
  <c r="I169" i="7"/>
  <c r="K169" i="7" s="1"/>
  <c r="I168" i="7"/>
  <c r="K168" i="7" s="1"/>
  <c r="U166" i="7"/>
  <c r="T166" i="7"/>
  <c r="N166" i="7"/>
  <c r="N164" i="7" s="1"/>
  <c r="M166" i="7"/>
  <c r="P166" i="7" s="1"/>
  <c r="L166" i="7"/>
  <c r="U165" i="7"/>
  <c r="T165" i="7"/>
  <c r="P165" i="7"/>
  <c r="O165" i="7"/>
  <c r="S164" i="7"/>
  <c r="R164" i="7"/>
  <c r="U164" i="7" s="1"/>
  <c r="Q164" i="7"/>
  <c r="T164" i="7" s="1"/>
  <c r="S163" i="7"/>
  <c r="S161" i="7" s="1"/>
  <c r="R163" i="7"/>
  <c r="Q160" i="7"/>
  <c r="T160" i="7" s="1"/>
  <c r="N163" i="7"/>
  <c r="N161" i="7" s="1"/>
  <c r="M163" i="7"/>
  <c r="P163" i="7" s="1"/>
  <c r="L163" i="7"/>
  <c r="U162" i="7"/>
  <c r="T162" i="7"/>
  <c r="P162" i="7"/>
  <c r="O162" i="7"/>
  <c r="S159" i="7"/>
  <c r="R159" i="7"/>
  <c r="U159" i="7" s="1"/>
  <c r="Q159" i="7"/>
  <c r="N159" i="7"/>
  <c r="M159" i="7"/>
  <c r="P159" i="7" s="1"/>
  <c r="L159" i="7"/>
  <c r="O159" i="7" s="1"/>
  <c r="J157" i="7"/>
  <c r="I155" i="7"/>
  <c r="I137" i="7" s="1"/>
  <c r="I154" i="7"/>
  <c r="K154" i="7" s="1"/>
  <c r="I153" i="7"/>
  <c r="I152" i="7"/>
  <c r="K152" i="7" s="1"/>
  <c r="I151" i="7"/>
  <c r="K151" i="7" s="1"/>
  <c r="U148" i="7"/>
  <c r="T148" i="7"/>
  <c r="N148" i="7"/>
  <c r="N146" i="7" s="1"/>
  <c r="M148" i="7"/>
  <c r="M146" i="7" s="1"/>
  <c r="P146" i="7" s="1"/>
  <c r="L148" i="7"/>
  <c r="O148" i="7" s="1"/>
  <c r="U147" i="7"/>
  <c r="T147" i="7"/>
  <c r="P147" i="7"/>
  <c r="O147" i="7"/>
  <c r="S146" i="7"/>
  <c r="R146" i="7"/>
  <c r="U146" i="7" s="1"/>
  <c r="Q146" i="7"/>
  <c r="T146" i="7" s="1"/>
  <c r="S145" i="7"/>
  <c r="S142" i="7" s="1"/>
  <c r="R145" i="7"/>
  <c r="R142" i="7" s="1"/>
  <c r="U142" i="7" s="1"/>
  <c r="Q145" i="7"/>
  <c r="T145" i="7" s="1"/>
  <c r="N145" i="7"/>
  <c r="N143" i="7" s="1"/>
  <c r="M145" i="7"/>
  <c r="L145" i="7"/>
  <c r="L143" i="7" s="1"/>
  <c r="U144" i="7"/>
  <c r="T144" i="7"/>
  <c r="P144" i="7"/>
  <c r="O144" i="7"/>
  <c r="T141" i="7"/>
  <c r="S141" i="7"/>
  <c r="R141" i="7"/>
  <c r="U141" i="7" s="1"/>
  <c r="Q141" i="7"/>
  <c r="N141" i="7"/>
  <c r="M141" i="7"/>
  <c r="P141" i="7" s="1"/>
  <c r="L141" i="7"/>
  <c r="O141" i="7" s="1"/>
  <c r="J139" i="7"/>
  <c r="J138" i="7"/>
  <c r="J137" i="7"/>
  <c r="I131" i="7"/>
  <c r="K131" i="7" s="1"/>
  <c r="I130" i="7"/>
  <c r="K130" i="7" s="1"/>
  <c r="I129" i="7"/>
  <c r="K129" i="7" s="1"/>
  <c r="I128" i="7"/>
  <c r="K128" i="7" s="1"/>
  <c r="U126" i="7"/>
  <c r="T126" i="7"/>
  <c r="N126" i="7"/>
  <c r="N124" i="7" s="1"/>
  <c r="M126" i="7"/>
  <c r="L126" i="7"/>
  <c r="O126" i="7" s="1"/>
  <c r="U125" i="7"/>
  <c r="T125" i="7"/>
  <c r="P125" i="7"/>
  <c r="O125" i="7"/>
  <c r="S124" i="7"/>
  <c r="R124" i="7"/>
  <c r="U124" i="7" s="1"/>
  <c r="Q124" i="7"/>
  <c r="T124" i="7" s="1"/>
  <c r="S123" i="7"/>
  <c r="S120" i="7" s="1"/>
  <c r="R123" i="7"/>
  <c r="Q123" i="7"/>
  <c r="Q120" i="7" s="1"/>
  <c r="N123" i="7"/>
  <c r="N121" i="7" s="1"/>
  <c r="M123" i="7"/>
  <c r="P123" i="7" s="1"/>
  <c r="L123" i="7"/>
  <c r="O123" i="7" s="1"/>
  <c r="U122" i="7"/>
  <c r="T122" i="7"/>
  <c r="P122" i="7"/>
  <c r="O122" i="7"/>
  <c r="U119" i="7"/>
  <c r="T119" i="7"/>
  <c r="S119" i="7"/>
  <c r="R119" i="7"/>
  <c r="Q119" i="7"/>
  <c r="N119" i="7"/>
  <c r="M119" i="7"/>
  <c r="P119" i="7" s="1"/>
  <c r="L119" i="7"/>
  <c r="O119" i="7" s="1"/>
  <c r="J117" i="7"/>
  <c r="I115" i="7"/>
  <c r="K115" i="7" s="1"/>
  <c r="I114" i="7"/>
  <c r="K114" i="7" s="1"/>
  <c r="I110" i="7"/>
  <c r="K110" i="7" s="1"/>
  <c r="I109" i="7"/>
  <c r="I93" i="7" s="1"/>
  <c r="K93" i="7" s="1"/>
  <c r="U103" i="7"/>
  <c r="T103" i="7"/>
  <c r="N103" i="7"/>
  <c r="N101" i="7" s="1"/>
  <c r="M103" i="7"/>
  <c r="L103" i="7"/>
  <c r="L101" i="7" s="1"/>
  <c r="O101" i="7" s="1"/>
  <c r="U102" i="7"/>
  <c r="T102" i="7"/>
  <c r="P102" i="7"/>
  <c r="O102" i="7"/>
  <c r="U101" i="7"/>
  <c r="S101" i="7"/>
  <c r="R101" i="7"/>
  <c r="Q101" i="7"/>
  <c r="T101" i="7" s="1"/>
  <c r="S100" i="7"/>
  <c r="S98" i="7" s="1"/>
  <c r="R100" i="7"/>
  <c r="R98" i="7" s="1"/>
  <c r="Q100" i="7"/>
  <c r="Q98" i="7" s="1"/>
  <c r="N100" i="7"/>
  <c r="N98" i="7" s="1"/>
  <c r="M100" i="7"/>
  <c r="L100" i="7"/>
  <c r="U99" i="7"/>
  <c r="T99" i="7"/>
  <c r="P99" i="7"/>
  <c r="O99" i="7"/>
  <c r="S96" i="7"/>
  <c r="R96" i="7"/>
  <c r="Q96" i="7"/>
  <c r="T96" i="7" s="1"/>
  <c r="P96" i="7"/>
  <c r="N96" i="7"/>
  <c r="M96" i="7"/>
  <c r="L96" i="7"/>
  <c r="J94" i="7"/>
  <c r="J93" i="7"/>
  <c r="I91" i="7"/>
  <c r="K91" i="7" s="1"/>
  <c r="I90" i="7"/>
  <c r="K90" i="7" s="1"/>
  <c r="I89" i="7"/>
  <c r="K89" i="7" s="1"/>
  <c r="I88" i="7"/>
  <c r="K88" i="7" s="1"/>
  <c r="I87" i="7"/>
  <c r="K87" i="7" s="1"/>
  <c r="I86" i="7"/>
  <c r="K86" i="7" s="1"/>
  <c r="I85" i="7"/>
  <c r="K85" i="7" s="1"/>
  <c r="J84" i="7"/>
  <c r="J83" i="7"/>
  <c r="U81" i="7"/>
  <c r="T81" i="7"/>
  <c r="N81" i="7"/>
  <c r="M81" i="7"/>
  <c r="P81" i="7" s="1"/>
  <c r="L81" i="7"/>
  <c r="U80" i="7"/>
  <c r="T80" i="7"/>
  <c r="P80" i="7"/>
  <c r="O80" i="7"/>
  <c r="U79" i="7"/>
  <c r="T79" i="7"/>
  <c r="S79" i="7"/>
  <c r="R79" i="7"/>
  <c r="Q79" i="7"/>
  <c r="S78" i="7"/>
  <c r="S75" i="7" s="1"/>
  <c r="S73" i="7" s="1"/>
  <c r="R78" i="7"/>
  <c r="R75" i="7" s="1"/>
  <c r="Q78" i="7"/>
  <c r="Q76" i="7" s="1"/>
  <c r="N78" i="7"/>
  <c r="N76" i="7" s="1"/>
  <c r="M78" i="7"/>
  <c r="M76" i="7" s="1"/>
  <c r="L78" i="7"/>
  <c r="U77" i="7"/>
  <c r="T77" i="7"/>
  <c r="P77" i="7"/>
  <c r="O77" i="7"/>
  <c r="S74" i="7"/>
  <c r="R74" i="7"/>
  <c r="U74" i="7" s="1"/>
  <c r="Q74" i="7"/>
  <c r="P74" i="7"/>
  <c r="N74" i="7"/>
  <c r="M74" i="7"/>
  <c r="L74" i="7"/>
  <c r="O74" i="7" s="1"/>
  <c r="J72" i="7"/>
  <c r="J71" i="7"/>
  <c r="U68" i="7"/>
  <c r="T68" i="7"/>
  <c r="N68" i="7"/>
  <c r="N66" i="7" s="1"/>
  <c r="M68" i="7"/>
  <c r="P68" i="7" s="1"/>
  <c r="L68" i="7"/>
  <c r="O68" i="7" s="1"/>
  <c r="U67" i="7"/>
  <c r="T67" i="7"/>
  <c r="P67" i="7"/>
  <c r="O67" i="7"/>
  <c r="S66" i="7"/>
  <c r="R66" i="7"/>
  <c r="U66" i="7" s="1"/>
  <c r="Q66" i="7"/>
  <c r="T66" i="7" s="1"/>
  <c r="U65" i="7"/>
  <c r="T65" i="7"/>
  <c r="N65" i="7"/>
  <c r="N63" i="7" s="1"/>
  <c r="M65" i="7"/>
  <c r="L65" i="7"/>
  <c r="U64" i="7"/>
  <c r="T64" i="7"/>
  <c r="P64" i="7"/>
  <c r="O64" i="7"/>
  <c r="U63" i="7"/>
  <c r="T63" i="7"/>
  <c r="S63" i="7"/>
  <c r="R63" i="7"/>
  <c r="Q63" i="7"/>
  <c r="T62" i="7"/>
  <c r="S62" i="7"/>
  <c r="R62" i="7"/>
  <c r="U62" i="7" s="1"/>
  <c r="Q62" i="7"/>
  <c r="U61" i="7"/>
  <c r="S61" i="7"/>
  <c r="R61" i="7"/>
  <c r="R60" i="7" s="1"/>
  <c r="Q61" i="7"/>
  <c r="P61" i="7"/>
  <c r="O61" i="7"/>
  <c r="N61" i="7"/>
  <c r="M61" i="7"/>
  <c r="L61" i="7"/>
  <c r="U60" i="7"/>
  <c r="S60" i="7"/>
  <c r="U53" i="7"/>
  <c r="T53" i="7"/>
  <c r="N53" i="7"/>
  <c r="N51" i="7" s="1"/>
  <c r="M53" i="7"/>
  <c r="P53" i="7" s="1"/>
  <c r="L53" i="7"/>
  <c r="L51" i="7" s="1"/>
  <c r="O51" i="7" s="1"/>
  <c r="U52" i="7"/>
  <c r="T52" i="7"/>
  <c r="P52" i="7"/>
  <c r="O52" i="7"/>
  <c r="S51" i="7"/>
  <c r="R51" i="7"/>
  <c r="U51" i="7" s="1"/>
  <c r="Q51" i="7"/>
  <c r="T51" i="7" s="1"/>
  <c r="U50" i="7"/>
  <c r="T50" i="7"/>
  <c r="N50" i="7"/>
  <c r="N48" i="7" s="1"/>
  <c r="M50" i="7"/>
  <c r="L50" i="7"/>
  <c r="U49" i="7"/>
  <c r="T49" i="7"/>
  <c r="P49" i="7"/>
  <c r="O49" i="7"/>
  <c r="U48" i="7"/>
  <c r="T48" i="7"/>
  <c r="S48" i="7"/>
  <c r="R48" i="7"/>
  <c r="Q48" i="7"/>
  <c r="U47" i="7"/>
  <c r="S47" i="7"/>
  <c r="R47" i="7"/>
  <c r="Q47" i="7"/>
  <c r="T47" i="7" s="1"/>
  <c r="U46" i="7"/>
  <c r="S46" i="7"/>
  <c r="S45" i="7" s="1"/>
  <c r="R46" i="7"/>
  <c r="Q46" i="7"/>
  <c r="O46" i="7"/>
  <c r="N46" i="7"/>
  <c r="M46" i="7"/>
  <c r="L46" i="7"/>
  <c r="S27" i="7"/>
  <c r="R27" i="7"/>
  <c r="U27" i="7" s="1"/>
  <c r="Q27" i="7"/>
  <c r="T27" i="7" s="1"/>
  <c r="S26" i="7"/>
  <c r="R26" i="7"/>
  <c r="U26" i="7" s="1"/>
  <c r="Q26" i="7"/>
  <c r="T26" i="7" s="1"/>
  <c r="N26" i="7"/>
  <c r="M26" i="7"/>
  <c r="P26" i="7" s="1"/>
  <c r="L26" i="7"/>
  <c r="S23" i="7"/>
  <c r="R23" i="7"/>
  <c r="Q23" i="7"/>
  <c r="N23" i="7"/>
  <c r="N20" i="7" s="1"/>
  <c r="M23" i="7"/>
  <c r="P23" i="7" s="1"/>
  <c r="L23" i="7"/>
  <c r="O23" i="7" s="1"/>
  <c r="S20" i="7"/>
  <c r="A788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H777" i="6"/>
  <c r="I776" i="6"/>
  <c r="I775" i="6"/>
  <c r="I774" i="6"/>
  <c r="I759" i="6" s="1"/>
  <c r="K759" i="6" s="1"/>
  <c r="I772" i="6"/>
  <c r="K772" i="6" s="1"/>
  <c r="I770" i="6"/>
  <c r="K770" i="6" s="1"/>
  <c r="U768" i="6"/>
  <c r="T768" i="6"/>
  <c r="P768" i="6"/>
  <c r="O768" i="6"/>
  <c r="U767" i="6"/>
  <c r="T767" i="6"/>
  <c r="P767" i="6"/>
  <c r="O767" i="6"/>
  <c r="S766" i="6"/>
  <c r="R766" i="6"/>
  <c r="U766" i="6" s="1"/>
  <c r="Q766" i="6"/>
  <c r="T766" i="6" s="1"/>
  <c r="P766" i="6"/>
  <c r="N766" i="6"/>
  <c r="M766" i="6"/>
  <c r="L766" i="6"/>
  <c r="O766" i="6" s="1"/>
  <c r="S765" i="6"/>
  <c r="S762" i="6" s="1"/>
  <c r="S760" i="6" s="1"/>
  <c r="R765" i="6"/>
  <c r="R763" i="6" s="1"/>
  <c r="Q765" i="6"/>
  <c r="P765" i="6"/>
  <c r="O765" i="6"/>
  <c r="U764" i="6"/>
  <c r="T764" i="6"/>
  <c r="P764" i="6"/>
  <c r="O764" i="6"/>
  <c r="O763" i="6"/>
  <c r="N763" i="6"/>
  <c r="M763" i="6"/>
  <c r="P763" i="6" s="1"/>
  <c r="L763" i="6"/>
  <c r="N762" i="6"/>
  <c r="M762" i="6"/>
  <c r="P762" i="6" s="1"/>
  <c r="L762" i="6"/>
  <c r="U761" i="6"/>
  <c r="S761" i="6"/>
  <c r="R761" i="6"/>
  <c r="Q761" i="6"/>
  <c r="T761" i="6" s="1"/>
  <c r="P761" i="6"/>
  <c r="O761" i="6"/>
  <c r="N761" i="6"/>
  <c r="M761" i="6"/>
  <c r="L761" i="6"/>
  <c r="N760" i="6"/>
  <c r="M760" i="6"/>
  <c r="P760" i="6" s="1"/>
  <c r="J759" i="6"/>
  <c r="J758" i="6"/>
  <c r="I756" i="6"/>
  <c r="K756" i="6" s="1"/>
  <c r="I753" i="6"/>
  <c r="K753" i="6" s="1"/>
  <c r="I750" i="6"/>
  <c r="K750" i="6" s="1"/>
  <c r="I747" i="6"/>
  <c r="K747" i="6" s="1"/>
  <c r="I745" i="6"/>
  <c r="K745" i="6" s="1"/>
  <c r="I743" i="6"/>
  <c r="K743" i="6" s="1"/>
  <c r="I741" i="6"/>
  <c r="K741" i="6" s="1"/>
  <c r="U737" i="6"/>
  <c r="T737" i="6"/>
  <c r="P737" i="6"/>
  <c r="O737" i="6"/>
  <c r="U736" i="6"/>
  <c r="T736" i="6"/>
  <c r="P736" i="6"/>
  <c r="O736" i="6"/>
  <c r="U735" i="6"/>
  <c r="S735" i="6"/>
  <c r="R735" i="6"/>
  <c r="Q735" i="6"/>
  <c r="T735" i="6" s="1"/>
  <c r="P735" i="6"/>
  <c r="O735" i="6"/>
  <c r="N735" i="6"/>
  <c r="M735" i="6"/>
  <c r="L735" i="6"/>
  <c r="S734" i="6"/>
  <c r="S732" i="6" s="1"/>
  <c r="R734" i="6"/>
  <c r="R732" i="6" s="1"/>
  <c r="Q734" i="6"/>
  <c r="P734" i="6"/>
  <c r="O734" i="6"/>
  <c r="U733" i="6"/>
  <c r="T733" i="6"/>
  <c r="P733" i="6"/>
  <c r="O733" i="6"/>
  <c r="N732" i="6"/>
  <c r="M732" i="6"/>
  <c r="P732" i="6" s="1"/>
  <c r="L732" i="6"/>
  <c r="O732" i="6" s="1"/>
  <c r="P731" i="6"/>
  <c r="N731" i="6"/>
  <c r="M731" i="6"/>
  <c r="L731" i="6"/>
  <c r="O731" i="6" s="1"/>
  <c r="U730" i="6"/>
  <c r="T730" i="6"/>
  <c r="S730" i="6"/>
  <c r="R730" i="6"/>
  <c r="Q730" i="6"/>
  <c r="P730" i="6"/>
  <c r="O730" i="6"/>
  <c r="N730" i="6"/>
  <c r="N729" i="6" s="1"/>
  <c r="M730" i="6"/>
  <c r="L730" i="6"/>
  <c r="M729" i="6"/>
  <c r="P729" i="6" s="1"/>
  <c r="L729" i="6"/>
  <c r="O729" i="6" s="1"/>
  <c r="J728" i="6"/>
  <c r="I728" i="6"/>
  <c r="J727" i="6"/>
  <c r="I727" i="6"/>
  <c r="K727" i="6" s="1"/>
  <c r="U723" i="6"/>
  <c r="T723" i="6"/>
  <c r="P723" i="6"/>
  <c r="O723" i="6"/>
  <c r="U722" i="6"/>
  <c r="T722" i="6"/>
  <c r="P722" i="6"/>
  <c r="O722" i="6"/>
  <c r="T721" i="6"/>
  <c r="S721" i="6"/>
  <c r="R721" i="6"/>
  <c r="U721" i="6" s="1"/>
  <c r="Q721" i="6"/>
  <c r="N721" i="6"/>
  <c r="M721" i="6"/>
  <c r="P721" i="6" s="1"/>
  <c r="L721" i="6"/>
  <c r="O721" i="6" s="1"/>
  <c r="U720" i="6"/>
  <c r="T720" i="6"/>
  <c r="P720" i="6"/>
  <c r="O720" i="6"/>
  <c r="U719" i="6"/>
  <c r="T719" i="6"/>
  <c r="P719" i="6"/>
  <c r="O719" i="6"/>
  <c r="T718" i="6"/>
  <c r="S718" i="6"/>
  <c r="R718" i="6"/>
  <c r="U718" i="6" s="1"/>
  <c r="Q718" i="6"/>
  <c r="N718" i="6"/>
  <c r="M718" i="6"/>
  <c r="P718" i="6" s="1"/>
  <c r="L718" i="6"/>
  <c r="O718" i="6" s="1"/>
  <c r="S717" i="6"/>
  <c r="R717" i="6"/>
  <c r="U717" i="6" s="1"/>
  <c r="Q717" i="6"/>
  <c r="P717" i="6"/>
  <c r="N717" i="6"/>
  <c r="M717" i="6"/>
  <c r="L717" i="6"/>
  <c r="O717" i="6" s="1"/>
  <c r="U716" i="6"/>
  <c r="T716" i="6"/>
  <c r="S716" i="6"/>
  <c r="R716" i="6"/>
  <c r="Q716" i="6"/>
  <c r="P716" i="6"/>
  <c r="O716" i="6"/>
  <c r="N716" i="6"/>
  <c r="N715" i="6" s="1"/>
  <c r="M716" i="6"/>
  <c r="L716" i="6"/>
  <c r="S715" i="6"/>
  <c r="R715" i="6"/>
  <c r="U715" i="6" s="1"/>
  <c r="M715" i="6"/>
  <c r="P715" i="6" s="1"/>
  <c r="L715" i="6"/>
  <c r="O715" i="6" s="1"/>
  <c r="K713" i="6"/>
  <c r="J713" i="6"/>
  <c r="K711" i="6"/>
  <c r="J711" i="6"/>
  <c r="J710" i="6"/>
  <c r="I710" i="6"/>
  <c r="K709" i="6"/>
  <c r="J709" i="6"/>
  <c r="J708" i="6"/>
  <c r="J690" i="6" s="1"/>
  <c r="I708" i="6"/>
  <c r="I690" i="6" s="1"/>
  <c r="K707" i="6"/>
  <c r="J707" i="6"/>
  <c r="J706" i="6"/>
  <c r="I706" i="6"/>
  <c r="K705" i="6"/>
  <c r="J705" i="6"/>
  <c r="J704" i="6"/>
  <c r="I704" i="6"/>
  <c r="K703" i="6"/>
  <c r="I701" i="6"/>
  <c r="K701" i="6" s="1"/>
  <c r="U699" i="6"/>
  <c r="T699" i="6"/>
  <c r="P699" i="6"/>
  <c r="O699" i="6"/>
  <c r="U698" i="6"/>
  <c r="T698" i="6"/>
  <c r="P698" i="6"/>
  <c r="O698" i="6"/>
  <c r="S697" i="6"/>
  <c r="R697" i="6"/>
  <c r="U697" i="6" s="1"/>
  <c r="Q697" i="6"/>
  <c r="T697" i="6" s="1"/>
  <c r="N697" i="6"/>
  <c r="M697" i="6"/>
  <c r="P697" i="6" s="1"/>
  <c r="L697" i="6"/>
  <c r="O697" i="6" s="1"/>
  <c r="S696" i="6"/>
  <c r="R696" i="6"/>
  <c r="Q696" i="6"/>
  <c r="P696" i="6"/>
  <c r="O696" i="6"/>
  <c r="U695" i="6"/>
  <c r="T695" i="6"/>
  <c r="P695" i="6"/>
  <c r="O695" i="6"/>
  <c r="P694" i="6"/>
  <c r="O694" i="6"/>
  <c r="N694" i="6"/>
  <c r="M694" i="6"/>
  <c r="L694" i="6"/>
  <c r="N693" i="6"/>
  <c r="M693" i="6"/>
  <c r="L693" i="6"/>
  <c r="S692" i="6"/>
  <c r="R692" i="6"/>
  <c r="U692" i="6" s="1"/>
  <c r="Q692" i="6"/>
  <c r="P692" i="6"/>
  <c r="N692" i="6"/>
  <c r="M692" i="6"/>
  <c r="L692" i="6"/>
  <c r="O692" i="6" s="1"/>
  <c r="N691" i="6"/>
  <c r="J683" i="6"/>
  <c r="I683" i="6"/>
  <c r="J682" i="6"/>
  <c r="I682" i="6"/>
  <c r="K682" i="6" s="1"/>
  <c r="J681" i="6"/>
  <c r="J680" i="6"/>
  <c r="I680" i="6"/>
  <c r="K680" i="6" s="1"/>
  <c r="J679" i="6"/>
  <c r="I679" i="6"/>
  <c r="J678" i="6"/>
  <c r="J677" i="6"/>
  <c r="I677" i="6"/>
  <c r="I676" i="6"/>
  <c r="I675" i="6"/>
  <c r="J674" i="6"/>
  <c r="I674" i="6"/>
  <c r="J673" i="6"/>
  <c r="J672" i="6"/>
  <c r="J662" i="6"/>
  <c r="I662" i="6"/>
  <c r="I661" i="6"/>
  <c r="I658" i="6"/>
  <c r="J655" i="6"/>
  <c r="I655" i="6"/>
  <c r="J654" i="6"/>
  <c r="I654" i="6"/>
  <c r="J653" i="6"/>
  <c r="I653" i="6"/>
  <c r="K653" i="6" s="1"/>
  <c r="U651" i="6"/>
  <c r="T651" i="6"/>
  <c r="P651" i="6"/>
  <c r="O651" i="6"/>
  <c r="U650" i="6"/>
  <c r="T650" i="6"/>
  <c r="P650" i="6"/>
  <c r="O650" i="6"/>
  <c r="S649" i="6"/>
  <c r="R649" i="6"/>
  <c r="U649" i="6" s="1"/>
  <c r="Q649" i="6"/>
  <c r="T649" i="6" s="1"/>
  <c r="N649" i="6"/>
  <c r="M649" i="6"/>
  <c r="P649" i="6" s="1"/>
  <c r="L649" i="6"/>
  <c r="O649" i="6" s="1"/>
  <c r="S648" i="6"/>
  <c r="S646" i="6" s="1"/>
  <c r="R648" i="6"/>
  <c r="R646" i="6" s="1"/>
  <c r="Q648" i="6"/>
  <c r="P648" i="6"/>
  <c r="O648" i="6"/>
  <c r="U647" i="6"/>
  <c r="T647" i="6"/>
  <c r="P647" i="6"/>
  <c r="O647" i="6"/>
  <c r="P646" i="6"/>
  <c r="O646" i="6"/>
  <c r="N646" i="6"/>
  <c r="M646" i="6"/>
  <c r="L646" i="6"/>
  <c r="N645" i="6"/>
  <c r="M645" i="6"/>
  <c r="L645" i="6"/>
  <c r="S644" i="6"/>
  <c r="R644" i="6"/>
  <c r="U644" i="6" s="1"/>
  <c r="Q644" i="6"/>
  <c r="P644" i="6"/>
  <c r="N644" i="6"/>
  <c r="M644" i="6"/>
  <c r="L644" i="6"/>
  <c r="O644" i="6" s="1"/>
  <c r="N643" i="6"/>
  <c r="J637" i="6"/>
  <c r="J636" i="6"/>
  <c r="I636" i="6"/>
  <c r="K636" i="6" s="1"/>
  <c r="J633" i="6"/>
  <c r="I629" i="6"/>
  <c r="K629" i="6" s="1"/>
  <c r="I628" i="6"/>
  <c r="K628" i="6" s="1"/>
  <c r="J627" i="6"/>
  <c r="I627" i="6"/>
  <c r="U625" i="6"/>
  <c r="T625" i="6"/>
  <c r="P625" i="6"/>
  <c r="O625" i="6"/>
  <c r="U624" i="6"/>
  <c r="T624" i="6"/>
  <c r="P624" i="6"/>
  <c r="O624" i="6"/>
  <c r="T623" i="6"/>
  <c r="S623" i="6"/>
  <c r="R623" i="6"/>
  <c r="U623" i="6" s="1"/>
  <c r="Q623" i="6"/>
  <c r="N623" i="6"/>
  <c r="M623" i="6"/>
  <c r="P623" i="6" s="1"/>
  <c r="L623" i="6"/>
  <c r="O623" i="6" s="1"/>
  <c r="S622" i="6"/>
  <c r="S620" i="6" s="1"/>
  <c r="R622" i="6"/>
  <c r="Q622" i="6"/>
  <c r="P622" i="6"/>
  <c r="O622" i="6"/>
  <c r="U621" i="6"/>
  <c r="T621" i="6"/>
  <c r="P621" i="6"/>
  <c r="O621" i="6"/>
  <c r="P620" i="6"/>
  <c r="O620" i="6"/>
  <c r="N620" i="6"/>
  <c r="M620" i="6"/>
  <c r="L620" i="6"/>
  <c r="O619" i="6"/>
  <c r="N619" i="6"/>
  <c r="N617" i="6" s="1"/>
  <c r="M619" i="6"/>
  <c r="P619" i="6" s="1"/>
  <c r="L619" i="6"/>
  <c r="S618" i="6"/>
  <c r="R618" i="6"/>
  <c r="Q618" i="6"/>
  <c r="N618" i="6"/>
  <c r="M618" i="6"/>
  <c r="P618" i="6" s="1"/>
  <c r="L618" i="6"/>
  <c r="J616" i="6"/>
  <c r="U608" i="6"/>
  <c r="T608" i="6"/>
  <c r="P608" i="6"/>
  <c r="O608" i="6"/>
  <c r="U607" i="6"/>
  <c r="T607" i="6"/>
  <c r="P607" i="6"/>
  <c r="O607" i="6"/>
  <c r="T606" i="6"/>
  <c r="S606" i="6"/>
  <c r="R606" i="6"/>
  <c r="U606" i="6" s="1"/>
  <c r="Q606" i="6"/>
  <c r="P606" i="6"/>
  <c r="N606" i="6"/>
  <c r="M606" i="6"/>
  <c r="L606" i="6"/>
  <c r="O606" i="6" s="1"/>
  <c r="U605" i="6"/>
  <c r="T605" i="6"/>
  <c r="P605" i="6"/>
  <c r="O605" i="6"/>
  <c r="U604" i="6"/>
  <c r="T604" i="6"/>
  <c r="P604" i="6"/>
  <c r="O604" i="6"/>
  <c r="T603" i="6"/>
  <c r="S603" i="6"/>
  <c r="R603" i="6"/>
  <c r="U603" i="6" s="1"/>
  <c r="Q603" i="6"/>
  <c r="P603" i="6"/>
  <c r="N603" i="6"/>
  <c r="M603" i="6"/>
  <c r="L603" i="6"/>
  <c r="O603" i="6" s="1"/>
  <c r="T602" i="6"/>
  <c r="S602" i="6"/>
  <c r="R602" i="6"/>
  <c r="U602" i="6" s="1"/>
  <c r="Q602" i="6"/>
  <c r="Q600" i="6" s="1"/>
  <c r="T600" i="6" s="1"/>
  <c r="P602" i="6"/>
  <c r="N602" i="6"/>
  <c r="M602" i="6"/>
  <c r="L602" i="6"/>
  <c r="O602" i="6" s="1"/>
  <c r="U601" i="6"/>
  <c r="T601" i="6"/>
  <c r="S601" i="6"/>
  <c r="R601" i="6"/>
  <c r="R600" i="6" s="1"/>
  <c r="U600" i="6" s="1"/>
  <c r="Q601" i="6"/>
  <c r="P601" i="6"/>
  <c r="O601" i="6"/>
  <c r="N601" i="6"/>
  <c r="M601" i="6"/>
  <c r="L601" i="6"/>
  <c r="L600" i="6" s="1"/>
  <c r="O600" i="6" s="1"/>
  <c r="S600" i="6"/>
  <c r="P600" i="6"/>
  <c r="M600" i="6"/>
  <c r="U585" i="6"/>
  <c r="T585" i="6"/>
  <c r="P585" i="6"/>
  <c r="O585" i="6"/>
  <c r="U584" i="6"/>
  <c r="T584" i="6"/>
  <c r="P584" i="6"/>
  <c r="O584" i="6"/>
  <c r="T583" i="6"/>
  <c r="S583" i="6"/>
  <c r="R583" i="6"/>
  <c r="U583" i="6" s="1"/>
  <c r="Q583" i="6"/>
  <c r="P583" i="6"/>
  <c r="N583" i="6"/>
  <c r="M583" i="6"/>
  <c r="L583" i="6"/>
  <c r="O583" i="6" s="1"/>
  <c r="U582" i="6"/>
  <c r="T582" i="6"/>
  <c r="P582" i="6"/>
  <c r="O582" i="6"/>
  <c r="U581" i="6"/>
  <c r="T581" i="6"/>
  <c r="P581" i="6"/>
  <c r="O581" i="6"/>
  <c r="T580" i="6"/>
  <c r="S580" i="6"/>
  <c r="R580" i="6"/>
  <c r="U580" i="6" s="1"/>
  <c r="Q580" i="6"/>
  <c r="N580" i="6"/>
  <c r="M580" i="6"/>
  <c r="P580" i="6" s="1"/>
  <c r="L580" i="6"/>
  <c r="O580" i="6" s="1"/>
  <c r="S579" i="6"/>
  <c r="R579" i="6"/>
  <c r="U579" i="6" s="1"/>
  <c r="Q579" i="6"/>
  <c r="Q577" i="6" s="1"/>
  <c r="T577" i="6" s="1"/>
  <c r="P579" i="6"/>
  <c r="N579" i="6"/>
  <c r="M579" i="6"/>
  <c r="L579" i="6"/>
  <c r="O579" i="6" s="1"/>
  <c r="T578" i="6"/>
  <c r="S578" i="6"/>
  <c r="R578" i="6"/>
  <c r="U578" i="6" s="1"/>
  <c r="Q578" i="6"/>
  <c r="P578" i="6"/>
  <c r="N578" i="6"/>
  <c r="N577" i="6" s="1"/>
  <c r="M578" i="6"/>
  <c r="L578" i="6"/>
  <c r="O578" i="6" s="1"/>
  <c r="S577" i="6"/>
  <c r="R577" i="6"/>
  <c r="U577" i="6" s="1"/>
  <c r="M577" i="6"/>
  <c r="P577" i="6" s="1"/>
  <c r="L577" i="6"/>
  <c r="O577" i="6" s="1"/>
  <c r="J576" i="6"/>
  <c r="I576" i="6"/>
  <c r="K576" i="6" s="1"/>
  <c r="U564" i="6"/>
  <c r="T564" i="6"/>
  <c r="P564" i="6"/>
  <c r="O564" i="6"/>
  <c r="U563" i="6"/>
  <c r="T563" i="6"/>
  <c r="P563" i="6"/>
  <c r="O563" i="6"/>
  <c r="U562" i="6"/>
  <c r="S562" i="6"/>
  <c r="R562" i="6"/>
  <c r="Q562" i="6"/>
  <c r="T562" i="6" s="1"/>
  <c r="P562" i="6"/>
  <c r="O562" i="6"/>
  <c r="N562" i="6"/>
  <c r="M562" i="6"/>
  <c r="L562" i="6"/>
  <c r="U561" i="6"/>
  <c r="T561" i="6"/>
  <c r="P561" i="6"/>
  <c r="O561" i="6"/>
  <c r="U560" i="6"/>
  <c r="T560" i="6"/>
  <c r="P560" i="6"/>
  <c r="O560" i="6"/>
  <c r="U559" i="6"/>
  <c r="S559" i="6"/>
  <c r="R559" i="6"/>
  <c r="Q559" i="6"/>
  <c r="T559" i="6" s="1"/>
  <c r="O559" i="6"/>
  <c r="N559" i="6"/>
  <c r="M559" i="6"/>
  <c r="P559" i="6" s="1"/>
  <c r="L559" i="6"/>
  <c r="U558" i="6"/>
  <c r="S558" i="6"/>
  <c r="S556" i="6" s="1"/>
  <c r="R558" i="6"/>
  <c r="Q558" i="6"/>
  <c r="T558" i="6" s="1"/>
  <c r="O558" i="6"/>
  <c r="N558" i="6"/>
  <c r="N556" i="6" s="1"/>
  <c r="M558" i="6"/>
  <c r="P558" i="6" s="1"/>
  <c r="L558" i="6"/>
  <c r="S557" i="6"/>
  <c r="R557" i="6"/>
  <c r="R556" i="6" s="1"/>
  <c r="Q557" i="6"/>
  <c r="N557" i="6"/>
  <c r="M557" i="6"/>
  <c r="P557" i="6" s="1"/>
  <c r="L557" i="6"/>
  <c r="L556" i="6" s="1"/>
  <c r="U556" i="6"/>
  <c r="O556" i="6"/>
  <c r="J555" i="6"/>
  <c r="I555" i="6"/>
  <c r="K555" i="6" s="1"/>
  <c r="U543" i="6"/>
  <c r="T543" i="6"/>
  <c r="P543" i="6"/>
  <c r="O543" i="6"/>
  <c r="U542" i="6"/>
  <c r="T542" i="6"/>
  <c r="P542" i="6"/>
  <c r="O542" i="6"/>
  <c r="T541" i="6"/>
  <c r="S541" i="6"/>
  <c r="R541" i="6"/>
  <c r="U541" i="6" s="1"/>
  <c r="Q541" i="6"/>
  <c r="N541" i="6"/>
  <c r="M541" i="6"/>
  <c r="P541" i="6" s="1"/>
  <c r="L541" i="6"/>
  <c r="O541" i="6" s="1"/>
  <c r="U540" i="6"/>
  <c r="T540" i="6"/>
  <c r="P540" i="6"/>
  <c r="O540" i="6"/>
  <c r="U539" i="6"/>
  <c r="T539" i="6"/>
  <c r="P539" i="6"/>
  <c r="O539" i="6"/>
  <c r="T538" i="6"/>
  <c r="S538" i="6"/>
  <c r="R538" i="6"/>
  <c r="U538" i="6" s="1"/>
  <c r="Q538" i="6"/>
  <c r="P538" i="6"/>
  <c r="N538" i="6"/>
  <c r="M538" i="6"/>
  <c r="L538" i="6"/>
  <c r="O538" i="6" s="1"/>
  <c r="T537" i="6"/>
  <c r="S537" i="6"/>
  <c r="R537" i="6"/>
  <c r="U537" i="6" s="1"/>
  <c r="Q537" i="6"/>
  <c r="Q535" i="6" s="1"/>
  <c r="T535" i="6" s="1"/>
  <c r="P537" i="6"/>
  <c r="N537" i="6"/>
  <c r="M537" i="6"/>
  <c r="L537" i="6"/>
  <c r="O537" i="6" s="1"/>
  <c r="U536" i="6"/>
  <c r="T536" i="6"/>
  <c r="S536" i="6"/>
  <c r="R536" i="6"/>
  <c r="R535" i="6" s="1"/>
  <c r="U535" i="6" s="1"/>
  <c r="Q536" i="6"/>
  <c r="P536" i="6"/>
  <c r="O536" i="6"/>
  <c r="N536" i="6"/>
  <c r="N535" i="6" s="1"/>
  <c r="M536" i="6"/>
  <c r="L536" i="6"/>
  <c r="S535" i="6"/>
  <c r="M535" i="6"/>
  <c r="P535" i="6" s="1"/>
  <c r="L535" i="6"/>
  <c r="O535" i="6" s="1"/>
  <c r="K534" i="6"/>
  <c r="J534" i="6"/>
  <c r="I534" i="6"/>
  <c r="K525" i="6"/>
  <c r="K524" i="6"/>
  <c r="U522" i="6"/>
  <c r="T522" i="6"/>
  <c r="N522" i="6"/>
  <c r="N520" i="6" s="1"/>
  <c r="M522" i="6"/>
  <c r="M520" i="6" s="1"/>
  <c r="P520" i="6" s="1"/>
  <c r="L522" i="6"/>
  <c r="L520" i="6" s="1"/>
  <c r="O520" i="6" s="1"/>
  <c r="U521" i="6"/>
  <c r="T521" i="6"/>
  <c r="P521" i="6"/>
  <c r="O521" i="6"/>
  <c r="U520" i="6"/>
  <c r="T520" i="6"/>
  <c r="S520" i="6"/>
  <c r="R520" i="6"/>
  <c r="Q520" i="6"/>
  <c r="U519" i="6"/>
  <c r="T519" i="6"/>
  <c r="N519" i="6"/>
  <c r="N517" i="6" s="1"/>
  <c r="M519" i="6"/>
  <c r="M517" i="6" s="1"/>
  <c r="P517" i="6" s="1"/>
  <c r="L519" i="6"/>
  <c r="O519" i="6" s="1"/>
  <c r="U518" i="6"/>
  <c r="T518" i="6"/>
  <c r="P518" i="6"/>
  <c r="O518" i="6"/>
  <c r="U517" i="6"/>
  <c r="S517" i="6"/>
  <c r="R517" i="6"/>
  <c r="Q517" i="6"/>
  <c r="T517" i="6" s="1"/>
  <c r="U516" i="6"/>
  <c r="S516" i="6"/>
  <c r="R516" i="6"/>
  <c r="Q516" i="6"/>
  <c r="T516" i="6" s="1"/>
  <c r="U515" i="6"/>
  <c r="T515" i="6"/>
  <c r="S515" i="6"/>
  <c r="R515" i="6"/>
  <c r="Q515" i="6"/>
  <c r="Q514" i="6" s="1"/>
  <c r="T514" i="6" s="1"/>
  <c r="O515" i="6"/>
  <c r="N515" i="6"/>
  <c r="M515" i="6"/>
  <c r="L515" i="6"/>
  <c r="R514" i="6"/>
  <c r="U514" i="6" s="1"/>
  <c r="J513" i="6"/>
  <c r="I513" i="6"/>
  <c r="K513" i="6" s="1"/>
  <c r="I510" i="6"/>
  <c r="K510" i="6" s="1"/>
  <c r="K509" i="6"/>
  <c r="I508" i="6"/>
  <c r="K508" i="6" s="1"/>
  <c r="I507" i="6"/>
  <c r="K507" i="6" s="1"/>
  <c r="I506" i="6"/>
  <c r="K506" i="6" s="1"/>
  <c r="I505" i="6"/>
  <c r="I504" i="6"/>
  <c r="K504" i="6" s="1"/>
  <c r="U502" i="6"/>
  <c r="T502" i="6"/>
  <c r="P502" i="6"/>
  <c r="O502" i="6"/>
  <c r="U501" i="6"/>
  <c r="T501" i="6"/>
  <c r="P501" i="6"/>
  <c r="O501" i="6"/>
  <c r="S500" i="6"/>
  <c r="R500" i="6"/>
  <c r="U500" i="6" s="1"/>
  <c r="Q500" i="6"/>
  <c r="T500" i="6" s="1"/>
  <c r="P500" i="6"/>
  <c r="N500" i="6"/>
  <c r="M500" i="6"/>
  <c r="L500" i="6"/>
  <c r="O500" i="6" s="1"/>
  <c r="S499" i="6"/>
  <c r="S497" i="6" s="1"/>
  <c r="R499" i="6"/>
  <c r="R497" i="6" s="1"/>
  <c r="U497" i="6" s="1"/>
  <c r="Q499" i="6"/>
  <c r="Q496" i="6" s="1"/>
  <c r="P499" i="6"/>
  <c r="O499" i="6"/>
  <c r="U498" i="6"/>
  <c r="T498" i="6"/>
  <c r="P498" i="6"/>
  <c r="O498" i="6"/>
  <c r="O497" i="6"/>
  <c r="N497" i="6"/>
  <c r="M497" i="6"/>
  <c r="P497" i="6" s="1"/>
  <c r="L497" i="6"/>
  <c r="N496" i="6"/>
  <c r="M496" i="6"/>
  <c r="P496" i="6" s="1"/>
  <c r="L496" i="6"/>
  <c r="L494" i="6" s="1"/>
  <c r="O494" i="6" s="1"/>
  <c r="U495" i="6"/>
  <c r="S495" i="6"/>
  <c r="R495" i="6"/>
  <c r="Q495" i="6"/>
  <c r="T495" i="6" s="1"/>
  <c r="O495" i="6"/>
  <c r="N495" i="6"/>
  <c r="M495" i="6"/>
  <c r="P495" i="6" s="1"/>
  <c r="L495" i="6"/>
  <c r="N494" i="6"/>
  <c r="M494" i="6"/>
  <c r="P494" i="6" s="1"/>
  <c r="K486" i="6"/>
  <c r="J486" i="6"/>
  <c r="I486" i="6"/>
  <c r="K485" i="6"/>
  <c r="J485" i="6"/>
  <c r="I485" i="6"/>
  <c r="J484" i="6"/>
  <c r="J483" i="6"/>
  <c r="K478" i="6"/>
  <c r="J478" i="6"/>
  <c r="K477" i="6"/>
  <c r="J477" i="6"/>
  <c r="K476" i="6"/>
  <c r="J476" i="6"/>
  <c r="J469" i="6"/>
  <c r="J468" i="6"/>
  <c r="J461" i="6"/>
  <c r="J460" i="6"/>
  <c r="J458" i="6" s="1"/>
  <c r="J457" i="6" s="1"/>
  <c r="J459" i="6"/>
  <c r="I459" i="6"/>
  <c r="K459" i="6" s="1"/>
  <c r="I458" i="6"/>
  <c r="I457" i="6" s="1"/>
  <c r="K457" i="6" s="1"/>
  <c r="J448" i="6"/>
  <c r="J442" i="6" s="1"/>
  <c r="J447" i="6"/>
  <c r="I442" i="6"/>
  <c r="K442" i="6" s="1"/>
  <c r="J441" i="6"/>
  <c r="I441" i="6"/>
  <c r="K441" i="6" s="1"/>
  <c r="J434" i="6"/>
  <c r="I434" i="6"/>
  <c r="K434" i="6" s="1"/>
  <c r="J433" i="6"/>
  <c r="I433" i="6"/>
  <c r="K433" i="6" s="1"/>
  <c r="J426" i="6"/>
  <c r="I426" i="6"/>
  <c r="K426" i="6" s="1"/>
  <c r="J425" i="6"/>
  <c r="I425" i="6"/>
  <c r="K425" i="6" s="1"/>
  <c r="J424" i="6"/>
  <c r="U422" i="6"/>
  <c r="T422" i="6"/>
  <c r="P422" i="6"/>
  <c r="O422" i="6"/>
  <c r="U421" i="6"/>
  <c r="T421" i="6"/>
  <c r="P421" i="6"/>
  <c r="O421" i="6"/>
  <c r="T420" i="6"/>
  <c r="S420" i="6"/>
  <c r="R420" i="6"/>
  <c r="U420" i="6" s="1"/>
  <c r="Q420" i="6"/>
  <c r="P420" i="6"/>
  <c r="N420" i="6"/>
  <c r="M420" i="6"/>
  <c r="L420" i="6"/>
  <c r="O420" i="6" s="1"/>
  <c r="S419" i="6"/>
  <c r="S417" i="6" s="1"/>
  <c r="R419" i="6"/>
  <c r="U419" i="6" s="1"/>
  <c r="Q419" i="6"/>
  <c r="Q417" i="6" s="1"/>
  <c r="T417" i="6" s="1"/>
  <c r="P419" i="6"/>
  <c r="O419" i="6"/>
  <c r="U418" i="6"/>
  <c r="T418" i="6"/>
  <c r="P418" i="6"/>
  <c r="O418" i="6"/>
  <c r="O417" i="6"/>
  <c r="N417" i="6"/>
  <c r="M417" i="6"/>
  <c r="P417" i="6" s="1"/>
  <c r="L417" i="6"/>
  <c r="O416" i="6"/>
  <c r="N416" i="6"/>
  <c r="N414" i="6" s="1"/>
  <c r="M416" i="6"/>
  <c r="P416" i="6" s="1"/>
  <c r="L416" i="6"/>
  <c r="U415" i="6"/>
  <c r="S415" i="6"/>
  <c r="R415" i="6"/>
  <c r="Q415" i="6"/>
  <c r="N415" i="6"/>
  <c r="M415" i="6"/>
  <c r="P415" i="6" s="1"/>
  <c r="L415" i="6"/>
  <c r="L414" i="6" s="1"/>
  <c r="O414" i="6"/>
  <c r="M414" i="6"/>
  <c r="P414" i="6" s="1"/>
  <c r="J413" i="6"/>
  <c r="U401" i="6"/>
  <c r="T401" i="6"/>
  <c r="P401" i="6"/>
  <c r="O401" i="6"/>
  <c r="U400" i="6"/>
  <c r="T400" i="6"/>
  <c r="P400" i="6"/>
  <c r="O400" i="6"/>
  <c r="S399" i="6"/>
  <c r="R399" i="6"/>
  <c r="U399" i="6" s="1"/>
  <c r="Q399" i="6"/>
  <c r="T399" i="6" s="1"/>
  <c r="P399" i="6"/>
  <c r="N399" i="6"/>
  <c r="M399" i="6"/>
  <c r="L399" i="6"/>
  <c r="O399" i="6" s="1"/>
  <c r="U398" i="6"/>
  <c r="T398" i="6"/>
  <c r="P398" i="6"/>
  <c r="O398" i="6"/>
  <c r="U397" i="6"/>
  <c r="T397" i="6"/>
  <c r="P397" i="6"/>
  <c r="O397" i="6"/>
  <c r="S396" i="6"/>
  <c r="R396" i="6"/>
  <c r="U396" i="6" s="1"/>
  <c r="Q396" i="6"/>
  <c r="T396" i="6" s="1"/>
  <c r="P396" i="6"/>
  <c r="N396" i="6"/>
  <c r="M396" i="6"/>
  <c r="L396" i="6"/>
  <c r="O396" i="6" s="1"/>
  <c r="T395" i="6"/>
  <c r="S395" i="6"/>
  <c r="S393" i="6" s="1"/>
  <c r="R395" i="6"/>
  <c r="U395" i="6" s="1"/>
  <c r="Q395" i="6"/>
  <c r="P395" i="6"/>
  <c r="N395" i="6"/>
  <c r="M395" i="6"/>
  <c r="M393" i="6" s="1"/>
  <c r="P393" i="6" s="1"/>
  <c r="L395" i="6"/>
  <c r="O395" i="6" s="1"/>
  <c r="T394" i="6"/>
  <c r="S394" i="6"/>
  <c r="R394" i="6"/>
  <c r="U394" i="6" s="1"/>
  <c r="Q394" i="6"/>
  <c r="P394" i="6"/>
  <c r="N394" i="6"/>
  <c r="N393" i="6" s="1"/>
  <c r="M394" i="6"/>
  <c r="L394" i="6"/>
  <c r="O394" i="6" s="1"/>
  <c r="R393" i="6"/>
  <c r="U393" i="6" s="1"/>
  <c r="Q393" i="6"/>
  <c r="T393" i="6" s="1"/>
  <c r="L393" i="6"/>
  <c r="O393" i="6" s="1"/>
  <c r="K392" i="6"/>
  <c r="J392" i="6"/>
  <c r="I392" i="6"/>
  <c r="J389" i="6"/>
  <c r="I389" i="6"/>
  <c r="K389" i="6" s="1"/>
  <c r="K388" i="6"/>
  <c r="J388" i="6"/>
  <c r="J387" i="6"/>
  <c r="I387" i="6"/>
  <c r="K386" i="6"/>
  <c r="J386" i="6"/>
  <c r="U384" i="6"/>
  <c r="T384" i="6"/>
  <c r="P384" i="6"/>
  <c r="O384" i="6"/>
  <c r="U383" i="6"/>
  <c r="T383" i="6"/>
  <c r="P383" i="6"/>
  <c r="O383" i="6"/>
  <c r="S382" i="6"/>
  <c r="R382" i="6"/>
  <c r="U382" i="6" s="1"/>
  <c r="Q382" i="6"/>
  <c r="T382" i="6" s="1"/>
  <c r="N382" i="6"/>
  <c r="M382" i="6"/>
  <c r="P382" i="6" s="1"/>
  <c r="L382" i="6"/>
  <c r="O382" i="6" s="1"/>
  <c r="S381" i="6"/>
  <c r="S379" i="6" s="1"/>
  <c r="R381" i="6"/>
  <c r="R379" i="6" s="1"/>
  <c r="U379" i="6" s="1"/>
  <c r="Q381" i="6"/>
  <c r="P381" i="6"/>
  <c r="O381" i="6"/>
  <c r="U380" i="6"/>
  <c r="T380" i="6"/>
  <c r="P380" i="6"/>
  <c r="O380" i="6"/>
  <c r="P379" i="6"/>
  <c r="O379" i="6"/>
  <c r="N379" i="6"/>
  <c r="M379" i="6"/>
  <c r="L379" i="6"/>
  <c r="N378" i="6"/>
  <c r="N376" i="6" s="1"/>
  <c r="M378" i="6"/>
  <c r="L378" i="6"/>
  <c r="O378" i="6" s="1"/>
  <c r="S377" i="6"/>
  <c r="R377" i="6"/>
  <c r="Q377" i="6"/>
  <c r="P377" i="6"/>
  <c r="N377" i="6"/>
  <c r="M377" i="6"/>
  <c r="L377" i="6"/>
  <c r="D374" i="6"/>
  <c r="K373" i="6"/>
  <c r="J373" i="6"/>
  <c r="J372" i="6"/>
  <c r="J366" i="6" s="1"/>
  <c r="I372" i="6"/>
  <c r="K371" i="6"/>
  <c r="J371" i="6"/>
  <c r="J370" i="6"/>
  <c r="I370" i="6"/>
  <c r="J369" i="6"/>
  <c r="I369" i="6"/>
  <c r="K368" i="6"/>
  <c r="J368" i="6"/>
  <c r="U365" i="6"/>
  <c r="T365" i="6"/>
  <c r="N365" i="6"/>
  <c r="M365" i="6"/>
  <c r="M363" i="6" s="1"/>
  <c r="P363" i="6" s="1"/>
  <c r="L365" i="6"/>
  <c r="L363" i="6" s="1"/>
  <c r="O363" i="6" s="1"/>
  <c r="U364" i="6"/>
  <c r="T364" i="6"/>
  <c r="P364" i="6"/>
  <c r="O364" i="6"/>
  <c r="U363" i="6"/>
  <c r="T363" i="6"/>
  <c r="S363" i="6"/>
  <c r="R363" i="6"/>
  <c r="Q363" i="6"/>
  <c r="U362" i="6"/>
  <c r="T362" i="6"/>
  <c r="N362" i="6"/>
  <c r="N360" i="6" s="1"/>
  <c r="M362" i="6"/>
  <c r="M360" i="6" s="1"/>
  <c r="L362" i="6"/>
  <c r="L360" i="6" s="1"/>
  <c r="U361" i="6"/>
  <c r="T361" i="6"/>
  <c r="P361" i="6"/>
  <c r="O361" i="6"/>
  <c r="T360" i="6"/>
  <c r="S360" i="6"/>
  <c r="R360" i="6"/>
  <c r="U360" i="6" s="1"/>
  <c r="Q360" i="6"/>
  <c r="S359" i="6"/>
  <c r="R359" i="6"/>
  <c r="Q359" i="6"/>
  <c r="T359" i="6" s="1"/>
  <c r="U358" i="6"/>
  <c r="T358" i="6"/>
  <c r="S358" i="6"/>
  <c r="S357" i="6" s="1"/>
  <c r="R358" i="6"/>
  <c r="Q358" i="6"/>
  <c r="O358" i="6"/>
  <c r="N358" i="6"/>
  <c r="M358" i="6"/>
  <c r="P358" i="6" s="1"/>
  <c r="L358" i="6"/>
  <c r="T357" i="6"/>
  <c r="Q357" i="6"/>
  <c r="D355" i="6"/>
  <c r="J354" i="6"/>
  <c r="J353" i="6"/>
  <c r="D351" i="6"/>
  <c r="J350" i="6"/>
  <c r="J349" i="6"/>
  <c r="J348" i="6"/>
  <c r="J347" i="6"/>
  <c r="I347" i="6"/>
  <c r="J345" i="6"/>
  <c r="I345" i="6"/>
  <c r="I333" i="6" s="1"/>
  <c r="U342" i="6"/>
  <c r="T342" i="6"/>
  <c r="N342" i="6"/>
  <c r="N340" i="6" s="1"/>
  <c r="M342" i="6"/>
  <c r="L342" i="6"/>
  <c r="L340" i="6" s="1"/>
  <c r="O340" i="6" s="1"/>
  <c r="U341" i="6"/>
  <c r="T341" i="6"/>
  <c r="P341" i="6"/>
  <c r="O341" i="6"/>
  <c r="T340" i="6"/>
  <c r="S340" i="6"/>
  <c r="R340" i="6"/>
  <c r="U340" i="6" s="1"/>
  <c r="Q340" i="6"/>
  <c r="U339" i="6"/>
  <c r="T339" i="6"/>
  <c r="N339" i="6"/>
  <c r="N337" i="6" s="1"/>
  <c r="M339" i="6"/>
  <c r="M337" i="6" s="1"/>
  <c r="L339" i="6"/>
  <c r="L337" i="6" s="1"/>
  <c r="U338" i="6"/>
  <c r="T338" i="6"/>
  <c r="P338" i="6"/>
  <c r="O338" i="6"/>
  <c r="U337" i="6"/>
  <c r="T337" i="6"/>
  <c r="S337" i="6"/>
  <c r="R337" i="6"/>
  <c r="Q337" i="6"/>
  <c r="U336" i="6"/>
  <c r="T336" i="6"/>
  <c r="S336" i="6"/>
  <c r="R336" i="6"/>
  <c r="Q336" i="6"/>
  <c r="S335" i="6"/>
  <c r="S334" i="6" s="1"/>
  <c r="R335" i="6"/>
  <c r="Q335" i="6"/>
  <c r="T335" i="6" s="1"/>
  <c r="P335" i="6"/>
  <c r="N335" i="6"/>
  <c r="M335" i="6"/>
  <c r="L335" i="6"/>
  <c r="T334" i="6"/>
  <c r="Q334" i="6"/>
  <c r="I331" i="6"/>
  <c r="K331" i="6" s="1"/>
  <c r="U329" i="6"/>
  <c r="T329" i="6"/>
  <c r="N329" i="6"/>
  <c r="N327" i="6" s="1"/>
  <c r="M329" i="6"/>
  <c r="P329" i="6" s="1"/>
  <c r="L329" i="6"/>
  <c r="O329" i="6" s="1"/>
  <c r="U328" i="6"/>
  <c r="T328" i="6"/>
  <c r="P328" i="6"/>
  <c r="O328" i="6"/>
  <c r="S327" i="6"/>
  <c r="R327" i="6"/>
  <c r="U327" i="6" s="1"/>
  <c r="Q327" i="6"/>
  <c r="T327" i="6" s="1"/>
  <c r="U326" i="6"/>
  <c r="T326" i="6"/>
  <c r="N326" i="6"/>
  <c r="N324" i="6" s="1"/>
  <c r="M326" i="6"/>
  <c r="L326" i="6"/>
  <c r="L324" i="6" s="1"/>
  <c r="O324" i="6" s="1"/>
  <c r="U325" i="6"/>
  <c r="T325" i="6"/>
  <c r="P325" i="6"/>
  <c r="O325" i="6"/>
  <c r="U324" i="6"/>
  <c r="T324" i="6"/>
  <c r="S324" i="6"/>
  <c r="R324" i="6"/>
  <c r="Q324" i="6"/>
  <c r="T323" i="6"/>
  <c r="S323" i="6"/>
  <c r="R323" i="6"/>
  <c r="U323" i="6" s="1"/>
  <c r="Q323" i="6"/>
  <c r="U322" i="6"/>
  <c r="S322" i="6"/>
  <c r="R322" i="6"/>
  <c r="R321" i="6" s="1"/>
  <c r="Q322" i="6"/>
  <c r="P322" i="6"/>
  <c r="O322" i="6"/>
  <c r="N322" i="6"/>
  <c r="M322" i="6"/>
  <c r="L322" i="6"/>
  <c r="U321" i="6"/>
  <c r="S321" i="6"/>
  <c r="J320" i="6"/>
  <c r="I315" i="6"/>
  <c r="U312" i="6"/>
  <c r="T312" i="6"/>
  <c r="N312" i="6"/>
  <c r="N310" i="6" s="1"/>
  <c r="M312" i="6"/>
  <c r="L312" i="6"/>
  <c r="O312" i="6" s="1"/>
  <c r="U311" i="6"/>
  <c r="T311" i="6"/>
  <c r="P311" i="6"/>
  <c r="O311" i="6"/>
  <c r="U310" i="6"/>
  <c r="S310" i="6"/>
  <c r="R310" i="6"/>
  <c r="Q310" i="6"/>
  <c r="T310" i="6" s="1"/>
  <c r="S309" i="6"/>
  <c r="R309" i="6"/>
  <c r="R307" i="6" s="1"/>
  <c r="Q309" i="6"/>
  <c r="Q307" i="6" s="1"/>
  <c r="N309" i="6"/>
  <c r="N307" i="6" s="1"/>
  <c r="M309" i="6"/>
  <c r="M307" i="6" s="1"/>
  <c r="L309" i="6"/>
  <c r="L307" i="6" s="1"/>
  <c r="U308" i="6"/>
  <c r="T308" i="6"/>
  <c r="P308" i="6"/>
  <c r="O308" i="6"/>
  <c r="S305" i="6"/>
  <c r="R305" i="6"/>
  <c r="U305" i="6" s="1"/>
  <c r="Q305" i="6"/>
  <c r="T305" i="6" s="1"/>
  <c r="N305" i="6"/>
  <c r="M305" i="6"/>
  <c r="L305" i="6"/>
  <c r="O305" i="6" s="1"/>
  <c r="J303" i="6"/>
  <c r="I297" i="6"/>
  <c r="K297" i="6" s="1"/>
  <c r="I296" i="6"/>
  <c r="K296" i="6" s="1"/>
  <c r="J294" i="6"/>
  <c r="I294" i="6"/>
  <c r="I281" i="6" s="1"/>
  <c r="I293" i="6"/>
  <c r="K293" i="6" s="1"/>
  <c r="U291" i="6"/>
  <c r="T291" i="6"/>
  <c r="N291" i="6"/>
  <c r="N289" i="6" s="1"/>
  <c r="M291" i="6"/>
  <c r="L291" i="6"/>
  <c r="L289" i="6" s="1"/>
  <c r="O289" i="6" s="1"/>
  <c r="U290" i="6"/>
  <c r="T290" i="6"/>
  <c r="P290" i="6"/>
  <c r="O290" i="6"/>
  <c r="T289" i="6"/>
  <c r="S289" i="6"/>
  <c r="R289" i="6"/>
  <c r="U289" i="6" s="1"/>
  <c r="Q289" i="6"/>
  <c r="U288" i="6"/>
  <c r="T288" i="6"/>
  <c r="N288" i="6"/>
  <c r="M288" i="6"/>
  <c r="M286" i="6" s="1"/>
  <c r="L288" i="6"/>
  <c r="U287" i="6"/>
  <c r="T287" i="6"/>
  <c r="P287" i="6"/>
  <c r="O287" i="6"/>
  <c r="U286" i="6"/>
  <c r="S286" i="6"/>
  <c r="R286" i="6"/>
  <c r="Q286" i="6"/>
  <c r="T286" i="6" s="1"/>
  <c r="U285" i="6"/>
  <c r="T285" i="6"/>
  <c r="S285" i="6"/>
  <c r="R285" i="6"/>
  <c r="Q285" i="6"/>
  <c r="S284" i="6"/>
  <c r="R284" i="6"/>
  <c r="U284" i="6" s="1"/>
  <c r="Q284" i="6"/>
  <c r="N284" i="6"/>
  <c r="M284" i="6"/>
  <c r="L284" i="6"/>
  <c r="O284" i="6" s="1"/>
  <c r="R283" i="6"/>
  <c r="U283" i="6" s="1"/>
  <c r="J282" i="6"/>
  <c r="I277" i="6"/>
  <c r="U275" i="6"/>
  <c r="T275" i="6"/>
  <c r="N275" i="6"/>
  <c r="N273" i="6" s="1"/>
  <c r="M275" i="6"/>
  <c r="L275" i="6"/>
  <c r="U274" i="6"/>
  <c r="T274" i="6"/>
  <c r="P274" i="6"/>
  <c r="O274" i="6"/>
  <c r="U273" i="6"/>
  <c r="T273" i="6"/>
  <c r="S273" i="6"/>
  <c r="R273" i="6"/>
  <c r="Q273" i="6"/>
  <c r="S272" i="6"/>
  <c r="R272" i="6"/>
  <c r="R270" i="6" s="1"/>
  <c r="Q272" i="6"/>
  <c r="Q270" i="6" s="1"/>
  <c r="N272" i="6"/>
  <c r="N270" i="6" s="1"/>
  <c r="M272" i="6"/>
  <c r="L272" i="6"/>
  <c r="U271" i="6"/>
  <c r="T271" i="6"/>
  <c r="P271" i="6"/>
  <c r="O271" i="6"/>
  <c r="S268" i="6"/>
  <c r="R268" i="6"/>
  <c r="Q268" i="6"/>
  <c r="T268" i="6" s="1"/>
  <c r="P268" i="6"/>
  <c r="N268" i="6"/>
  <c r="M268" i="6"/>
  <c r="L268" i="6"/>
  <c r="J266" i="6"/>
  <c r="K264" i="6"/>
  <c r="K263" i="6"/>
  <c r="I261" i="6"/>
  <c r="L259" i="6"/>
  <c r="L258" i="6"/>
  <c r="L257" i="6"/>
  <c r="L256" i="6"/>
  <c r="P255" i="6"/>
  <c r="N255" i="6"/>
  <c r="J254" i="6"/>
  <c r="K253" i="6"/>
  <c r="K252" i="6"/>
  <c r="I250" i="6"/>
  <c r="I243" i="6" s="1"/>
  <c r="K243" i="6" s="1"/>
  <c r="L248" i="6"/>
  <c r="L247" i="6"/>
  <c r="L246" i="6"/>
  <c r="L245" i="6"/>
  <c r="P244" i="6"/>
  <c r="N244" i="6"/>
  <c r="J243" i="6"/>
  <c r="J232" i="6" s="1"/>
  <c r="K242" i="6"/>
  <c r="J242" i="6"/>
  <c r="I242" i="6"/>
  <c r="K241" i="6"/>
  <c r="J241" i="6"/>
  <c r="I241" i="6"/>
  <c r="J239" i="6"/>
  <c r="N237" i="6"/>
  <c r="N236" i="6"/>
  <c r="N235" i="6"/>
  <c r="N234" i="6"/>
  <c r="N233" i="6"/>
  <c r="I231" i="6"/>
  <c r="K231" i="6" s="1"/>
  <c r="I230" i="6"/>
  <c r="I229" i="6"/>
  <c r="K229" i="6" s="1"/>
  <c r="L226" i="6"/>
  <c r="L225" i="6"/>
  <c r="L224" i="6"/>
  <c r="P223" i="6"/>
  <c r="N223" i="6"/>
  <c r="J222" i="6"/>
  <c r="I221" i="6"/>
  <c r="K221" i="6" s="1"/>
  <c r="I220" i="6"/>
  <c r="K220" i="6" s="1"/>
  <c r="L218" i="6"/>
  <c r="L217" i="6"/>
  <c r="L216" i="6"/>
  <c r="P215" i="6"/>
  <c r="N215" i="6"/>
  <c r="J214" i="6"/>
  <c r="I213" i="6"/>
  <c r="K213" i="6" s="1"/>
  <c r="I212" i="6"/>
  <c r="K212" i="6" s="1"/>
  <c r="I210" i="6"/>
  <c r="L208" i="6"/>
  <c r="L207" i="6"/>
  <c r="L206" i="6"/>
  <c r="L205" i="6"/>
  <c r="P204" i="6"/>
  <c r="N204" i="6"/>
  <c r="J203" i="6"/>
  <c r="J200" i="6"/>
  <c r="I199" i="6"/>
  <c r="K199" i="6" s="1"/>
  <c r="P197" i="6"/>
  <c r="L197" i="6"/>
  <c r="O197" i="6" s="1"/>
  <c r="J196" i="6"/>
  <c r="U195" i="6"/>
  <c r="T195" i="6"/>
  <c r="N195" i="6"/>
  <c r="N193" i="6" s="1"/>
  <c r="M195" i="6"/>
  <c r="P195" i="6" s="1"/>
  <c r="L195" i="6"/>
  <c r="U194" i="6"/>
  <c r="T194" i="6"/>
  <c r="P194" i="6"/>
  <c r="O194" i="6"/>
  <c r="S193" i="6"/>
  <c r="R193" i="6"/>
  <c r="U193" i="6" s="1"/>
  <c r="Q193" i="6"/>
  <c r="T193" i="6" s="1"/>
  <c r="S192" i="6"/>
  <c r="S189" i="6" s="1"/>
  <c r="S187" i="6" s="1"/>
  <c r="R192" i="6"/>
  <c r="Q192" i="6"/>
  <c r="Q189" i="6" s="1"/>
  <c r="N192" i="6"/>
  <c r="M192" i="6"/>
  <c r="M190" i="6" s="1"/>
  <c r="L192" i="6"/>
  <c r="L190" i="6" s="1"/>
  <c r="U191" i="6"/>
  <c r="T191" i="6"/>
  <c r="P191" i="6"/>
  <c r="O191" i="6"/>
  <c r="U188" i="6"/>
  <c r="T188" i="6"/>
  <c r="S188" i="6"/>
  <c r="R188" i="6"/>
  <c r="Q188" i="6"/>
  <c r="N188" i="6"/>
  <c r="M188" i="6"/>
  <c r="P188" i="6" s="1"/>
  <c r="L188" i="6"/>
  <c r="J186" i="6"/>
  <c r="K185" i="6"/>
  <c r="I184" i="6"/>
  <c r="K184" i="6" s="1"/>
  <c r="U182" i="6"/>
  <c r="T182" i="6"/>
  <c r="N182" i="6"/>
  <c r="N180" i="6" s="1"/>
  <c r="M182" i="6"/>
  <c r="P182" i="6" s="1"/>
  <c r="L182" i="6"/>
  <c r="U181" i="6"/>
  <c r="T181" i="6"/>
  <c r="P181" i="6"/>
  <c r="O181" i="6"/>
  <c r="U180" i="6"/>
  <c r="T180" i="6"/>
  <c r="S180" i="6"/>
  <c r="R180" i="6"/>
  <c r="Q180" i="6"/>
  <c r="S179" i="6"/>
  <c r="S177" i="6" s="1"/>
  <c r="R179" i="6"/>
  <c r="Q179" i="6"/>
  <c r="Q177" i="6" s="1"/>
  <c r="T177" i="6" s="1"/>
  <c r="N179" i="6"/>
  <c r="N177" i="6" s="1"/>
  <c r="M179" i="6"/>
  <c r="M177" i="6" s="1"/>
  <c r="L179" i="6"/>
  <c r="U178" i="6"/>
  <c r="T178" i="6"/>
  <c r="P178" i="6"/>
  <c r="O178" i="6"/>
  <c r="S175" i="6"/>
  <c r="R175" i="6"/>
  <c r="Q175" i="6"/>
  <c r="T175" i="6" s="1"/>
  <c r="P175" i="6"/>
  <c r="N175" i="6"/>
  <c r="M175" i="6"/>
  <c r="L175" i="6"/>
  <c r="J173" i="6"/>
  <c r="I168" i="6"/>
  <c r="I169" i="6" s="1"/>
  <c r="K169" i="6" s="1"/>
  <c r="U166" i="6"/>
  <c r="T166" i="6"/>
  <c r="N166" i="6"/>
  <c r="N164" i="6" s="1"/>
  <c r="M166" i="6"/>
  <c r="P166" i="6" s="1"/>
  <c r="L166" i="6"/>
  <c r="U165" i="6"/>
  <c r="T165" i="6"/>
  <c r="P165" i="6"/>
  <c r="O165" i="6"/>
  <c r="U164" i="6"/>
  <c r="T164" i="6"/>
  <c r="S164" i="6"/>
  <c r="R164" i="6"/>
  <c r="Q164" i="6"/>
  <c r="S163" i="6"/>
  <c r="S161" i="6" s="1"/>
  <c r="R163" i="6"/>
  <c r="Q161" i="6"/>
  <c r="T161" i="6" s="1"/>
  <c r="N163" i="6"/>
  <c r="N161" i="6" s="1"/>
  <c r="M163" i="6"/>
  <c r="M161" i="6" s="1"/>
  <c r="L163" i="6"/>
  <c r="U162" i="6"/>
  <c r="T162" i="6"/>
  <c r="P162" i="6"/>
  <c r="O162" i="6"/>
  <c r="S159" i="6"/>
  <c r="R159" i="6"/>
  <c r="Q159" i="6"/>
  <c r="T159" i="6" s="1"/>
  <c r="N159" i="6"/>
  <c r="M159" i="6"/>
  <c r="P159" i="6" s="1"/>
  <c r="L159" i="6"/>
  <c r="J157" i="6"/>
  <c r="I155" i="6"/>
  <c r="I137" i="6" s="1"/>
  <c r="K137" i="6" s="1"/>
  <c r="I154" i="6"/>
  <c r="K154" i="6" s="1"/>
  <c r="I153" i="6"/>
  <c r="I138" i="6" s="1"/>
  <c r="K138" i="6" s="1"/>
  <c r="I152" i="6"/>
  <c r="K152" i="6" s="1"/>
  <c r="I151" i="6"/>
  <c r="K151" i="6" s="1"/>
  <c r="U148" i="6"/>
  <c r="T148" i="6"/>
  <c r="N148" i="6"/>
  <c r="N146" i="6" s="1"/>
  <c r="M148" i="6"/>
  <c r="P148" i="6" s="1"/>
  <c r="L148" i="6"/>
  <c r="O148" i="6" s="1"/>
  <c r="U147" i="6"/>
  <c r="T147" i="6"/>
  <c r="P147" i="6"/>
  <c r="O147" i="6"/>
  <c r="S146" i="6"/>
  <c r="R146" i="6"/>
  <c r="U146" i="6" s="1"/>
  <c r="Q146" i="6"/>
  <c r="T146" i="6" s="1"/>
  <c r="S145" i="6"/>
  <c r="S142" i="6" s="1"/>
  <c r="R145" i="6"/>
  <c r="R143" i="6" s="1"/>
  <c r="U143" i="6" s="1"/>
  <c r="Q145" i="6"/>
  <c r="T145" i="6" s="1"/>
  <c r="N145" i="6"/>
  <c r="N143" i="6" s="1"/>
  <c r="M145" i="6"/>
  <c r="L145" i="6"/>
  <c r="U144" i="6"/>
  <c r="T144" i="6"/>
  <c r="P144" i="6"/>
  <c r="O144" i="6"/>
  <c r="U141" i="6"/>
  <c r="T141" i="6"/>
  <c r="S141" i="6"/>
  <c r="R141" i="6"/>
  <c r="Q141" i="6"/>
  <c r="P141" i="6"/>
  <c r="O141" i="6"/>
  <c r="N141" i="6"/>
  <c r="M141" i="6"/>
  <c r="L141" i="6"/>
  <c r="J139" i="6"/>
  <c r="J138" i="6"/>
  <c r="J137" i="6"/>
  <c r="I131" i="6"/>
  <c r="K131" i="6" s="1"/>
  <c r="I130" i="6"/>
  <c r="K130" i="6" s="1"/>
  <c r="I129" i="6"/>
  <c r="K129" i="6" s="1"/>
  <c r="I128" i="6"/>
  <c r="K128" i="6" s="1"/>
  <c r="U126" i="6"/>
  <c r="T126" i="6"/>
  <c r="N126" i="6"/>
  <c r="N124" i="6" s="1"/>
  <c r="M126" i="6"/>
  <c r="P126" i="6" s="1"/>
  <c r="L126" i="6"/>
  <c r="U125" i="6"/>
  <c r="T125" i="6"/>
  <c r="P125" i="6"/>
  <c r="O125" i="6"/>
  <c r="S124" i="6"/>
  <c r="R124" i="6"/>
  <c r="U124" i="6" s="1"/>
  <c r="Q124" i="6"/>
  <c r="T124" i="6" s="1"/>
  <c r="S123" i="6"/>
  <c r="S121" i="6" s="1"/>
  <c r="R123" i="6"/>
  <c r="R120" i="6" s="1"/>
  <c r="Q123" i="6"/>
  <c r="Q121" i="6" s="1"/>
  <c r="N123" i="6"/>
  <c r="M123" i="6"/>
  <c r="P123" i="6" s="1"/>
  <c r="L123" i="6"/>
  <c r="U122" i="6"/>
  <c r="T122" i="6"/>
  <c r="P122" i="6"/>
  <c r="O122" i="6"/>
  <c r="S119" i="6"/>
  <c r="R119" i="6"/>
  <c r="U119" i="6" s="1"/>
  <c r="Q119" i="6"/>
  <c r="T119" i="6" s="1"/>
  <c r="N119" i="6"/>
  <c r="M119" i="6"/>
  <c r="P119" i="6" s="1"/>
  <c r="L119" i="6"/>
  <c r="O119" i="6" s="1"/>
  <c r="J117" i="6"/>
  <c r="I115" i="6"/>
  <c r="K115" i="6" s="1"/>
  <c r="I114" i="6"/>
  <c r="K114" i="6" s="1"/>
  <c r="I110" i="6"/>
  <c r="K110" i="6" s="1"/>
  <c r="I109" i="6"/>
  <c r="K109" i="6" s="1"/>
  <c r="U103" i="6"/>
  <c r="T103" i="6"/>
  <c r="N103" i="6"/>
  <c r="N101" i="6" s="1"/>
  <c r="M103" i="6"/>
  <c r="M101" i="6" s="1"/>
  <c r="P101" i="6" s="1"/>
  <c r="L103" i="6"/>
  <c r="O103" i="6" s="1"/>
  <c r="U102" i="6"/>
  <c r="T102" i="6"/>
  <c r="P102" i="6"/>
  <c r="O102" i="6"/>
  <c r="S101" i="6"/>
  <c r="R101" i="6"/>
  <c r="U101" i="6" s="1"/>
  <c r="Q101" i="6"/>
  <c r="T101" i="6" s="1"/>
  <c r="S100" i="6"/>
  <c r="R100" i="6"/>
  <c r="R97" i="6" s="1"/>
  <c r="Q100" i="6"/>
  <c r="Q98" i="6" s="1"/>
  <c r="N100" i="6"/>
  <c r="N98" i="6" s="1"/>
  <c r="M100" i="6"/>
  <c r="L100" i="6"/>
  <c r="O100" i="6" s="1"/>
  <c r="U99" i="6"/>
  <c r="T99" i="6"/>
  <c r="P99" i="6"/>
  <c r="O99" i="6"/>
  <c r="S96" i="6"/>
  <c r="R96" i="6"/>
  <c r="U96" i="6" s="1"/>
  <c r="Q96" i="6"/>
  <c r="N96" i="6"/>
  <c r="M96" i="6"/>
  <c r="P96" i="6" s="1"/>
  <c r="L96" i="6"/>
  <c r="O96" i="6" s="1"/>
  <c r="J94" i="6"/>
  <c r="J93" i="6"/>
  <c r="I91" i="6"/>
  <c r="K91" i="6" s="1"/>
  <c r="I90" i="6"/>
  <c r="K90" i="6" s="1"/>
  <c r="I89" i="6"/>
  <c r="K89" i="6" s="1"/>
  <c r="I88" i="6"/>
  <c r="K88" i="6" s="1"/>
  <c r="I87" i="6"/>
  <c r="K87" i="6" s="1"/>
  <c r="I86" i="6"/>
  <c r="I85" i="6"/>
  <c r="K85" i="6" s="1"/>
  <c r="J84" i="6"/>
  <c r="J83" i="6"/>
  <c r="U81" i="6"/>
  <c r="T81" i="6"/>
  <c r="N81" i="6"/>
  <c r="N79" i="6" s="1"/>
  <c r="M81" i="6"/>
  <c r="L81" i="6"/>
  <c r="L79" i="6" s="1"/>
  <c r="O79" i="6" s="1"/>
  <c r="U80" i="6"/>
  <c r="T80" i="6"/>
  <c r="P80" i="6"/>
  <c r="O80" i="6"/>
  <c r="U79" i="6"/>
  <c r="S79" i="6"/>
  <c r="R79" i="6"/>
  <c r="Q79" i="6"/>
  <c r="T79" i="6" s="1"/>
  <c r="S78" i="6"/>
  <c r="S75" i="6" s="1"/>
  <c r="R78" i="6"/>
  <c r="R76" i="6" s="1"/>
  <c r="Q78" i="6"/>
  <c r="Q75" i="6" s="1"/>
  <c r="N78" i="6"/>
  <c r="N76" i="6" s="1"/>
  <c r="M78" i="6"/>
  <c r="L78" i="6"/>
  <c r="L76" i="6" s="1"/>
  <c r="U77" i="6"/>
  <c r="T77" i="6"/>
  <c r="P77" i="6"/>
  <c r="O77" i="6"/>
  <c r="S74" i="6"/>
  <c r="R74" i="6"/>
  <c r="U74" i="6" s="1"/>
  <c r="Q74" i="6"/>
  <c r="T74" i="6" s="1"/>
  <c r="P74" i="6"/>
  <c r="N74" i="6"/>
  <c r="M74" i="6"/>
  <c r="L74" i="6"/>
  <c r="O74" i="6" s="1"/>
  <c r="J72" i="6"/>
  <c r="J71" i="6"/>
  <c r="U68" i="6"/>
  <c r="T68" i="6"/>
  <c r="N68" i="6"/>
  <c r="M68" i="6"/>
  <c r="M66" i="6" s="1"/>
  <c r="P66" i="6" s="1"/>
  <c r="L68" i="6"/>
  <c r="O68" i="6" s="1"/>
  <c r="U67" i="6"/>
  <c r="T67" i="6"/>
  <c r="P67" i="6"/>
  <c r="O67" i="6"/>
  <c r="T66" i="6"/>
  <c r="S66" i="6"/>
  <c r="R66" i="6"/>
  <c r="U66" i="6" s="1"/>
  <c r="Q66" i="6"/>
  <c r="U65" i="6"/>
  <c r="T65" i="6"/>
  <c r="N65" i="6"/>
  <c r="N63" i="6" s="1"/>
  <c r="M65" i="6"/>
  <c r="L65" i="6"/>
  <c r="L63" i="6" s="1"/>
  <c r="U64" i="6"/>
  <c r="T64" i="6"/>
  <c r="P64" i="6"/>
  <c r="O64" i="6"/>
  <c r="U63" i="6"/>
  <c r="T63" i="6"/>
  <c r="S63" i="6"/>
  <c r="R63" i="6"/>
  <c r="Q63" i="6"/>
  <c r="U62" i="6"/>
  <c r="S62" i="6"/>
  <c r="R62" i="6"/>
  <c r="Q62" i="6"/>
  <c r="T62" i="6" s="1"/>
  <c r="T61" i="6"/>
  <c r="S61" i="6"/>
  <c r="S60" i="6" s="1"/>
  <c r="R61" i="6"/>
  <c r="U61" i="6" s="1"/>
  <c r="Q61" i="6"/>
  <c r="N61" i="6"/>
  <c r="M61" i="6"/>
  <c r="L61" i="6"/>
  <c r="O61" i="6" s="1"/>
  <c r="R60" i="6"/>
  <c r="U60" i="6" s="1"/>
  <c r="Q60" i="6"/>
  <c r="T60" i="6" s="1"/>
  <c r="U53" i="6"/>
  <c r="T53" i="6"/>
  <c r="N53" i="6"/>
  <c r="N51" i="6" s="1"/>
  <c r="M53" i="6"/>
  <c r="L53" i="6"/>
  <c r="U52" i="6"/>
  <c r="T52" i="6"/>
  <c r="P52" i="6"/>
  <c r="O52" i="6"/>
  <c r="U51" i="6"/>
  <c r="T51" i="6"/>
  <c r="S51" i="6"/>
  <c r="R51" i="6"/>
  <c r="Q51" i="6"/>
  <c r="U50" i="6"/>
  <c r="T50" i="6"/>
  <c r="N50" i="6"/>
  <c r="N48" i="6" s="1"/>
  <c r="M50" i="6"/>
  <c r="M48" i="6" s="1"/>
  <c r="L50" i="6"/>
  <c r="U49" i="6"/>
  <c r="T49" i="6"/>
  <c r="P49" i="6"/>
  <c r="O49" i="6"/>
  <c r="S48" i="6"/>
  <c r="R48" i="6"/>
  <c r="U48" i="6" s="1"/>
  <c r="Q48" i="6"/>
  <c r="T48" i="6" s="1"/>
  <c r="U47" i="6"/>
  <c r="T47" i="6"/>
  <c r="S47" i="6"/>
  <c r="R47" i="6"/>
  <c r="Q47" i="6"/>
  <c r="T46" i="6"/>
  <c r="S46" i="6"/>
  <c r="S45" i="6" s="1"/>
  <c r="R46" i="6"/>
  <c r="U46" i="6" s="1"/>
  <c r="Q46" i="6"/>
  <c r="N46" i="6"/>
  <c r="M46" i="6"/>
  <c r="L46" i="6"/>
  <c r="O46" i="6" s="1"/>
  <c r="R45" i="6"/>
  <c r="U45" i="6" s="1"/>
  <c r="Q45" i="6"/>
  <c r="T45" i="6" s="1"/>
  <c r="S27" i="6"/>
  <c r="R27" i="6"/>
  <c r="U27" i="6" s="1"/>
  <c r="Q27" i="6"/>
  <c r="S26" i="6"/>
  <c r="R26" i="6"/>
  <c r="Q26" i="6"/>
  <c r="T26" i="6" s="1"/>
  <c r="N26" i="6"/>
  <c r="M26" i="6"/>
  <c r="L26" i="6"/>
  <c r="S23" i="6"/>
  <c r="R23" i="6"/>
  <c r="Q23" i="6"/>
  <c r="T23" i="6" s="1"/>
  <c r="N23" i="6"/>
  <c r="N20" i="6" s="1"/>
  <c r="M23" i="6"/>
  <c r="M20" i="6" s="1"/>
  <c r="L23" i="6"/>
  <c r="L20" i="6" s="1"/>
  <c r="A788" i="5"/>
  <c r="J785" i="5"/>
  <c r="I785" i="5"/>
  <c r="J784" i="5"/>
  <c r="I784" i="5"/>
  <c r="J783" i="5"/>
  <c r="I783" i="5"/>
  <c r="K783" i="5" s="1"/>
  <c r="J782" i="5"/>
  <c r="I782" i="5"/>
  <c r="K782" i="5" s="1"/>
  <c r="J781" i="5"/>
  <c r="I781" i="5"/>
  <c r="J780" i="5"/>
  <c r="I780" i="5"/>
  <c r="J779" i="5"/>
  <c r="I779" i="5"/>
  <c r="J778" i="5"/>
  <c r="I778" i="5"/>
  <c r="H777" i="5"/>
  <c r="I776" i="5"/>
  <c r="I775" i="5"/>
  <c r="I774" i="5"/>
  <c r="K774" i="5" s="1"/>
  <c r="I772" i="5"/>
  <c r="K772" i="5" s="1"/>
  <c r="I770" i="5"/>
  <c r="K770" i="5" s="1"/>
  <c r="U768" i="5"/>
  <c r="T768" i="5"/>
  <c r="P768" i="5"/>
  <c r="O768" i="5"/>
  <c r="U767" i="5"/>
  <c r="T767" i="5"/>
  <c r="P767" i="5"/>
  <c r="O767" i="5"/>
  <c r="S766" i="5"/>
  <c r="R766" i="5"/>
  <c r="U766" i="5" s="1"/>
  <c r="Q766" i="5"/>
  <c r="T766" i="5" s="1"/>
  <c r="P766" i="5"/>
  <c r="N766" i="5"/>
  <c r="M766" i="5"/>
  <c r="L766" i="5"/>
  <c r="O766" i="5" s="1"/>
  <c r="S765" i="5"/>
  <c r="S763" i="5" s="1"/>
  <c r="R765" i="5"/>
  <c r="R763" i="5" s="1"/>
  <c r="U763" i="5" s="1"/>
  <c r="Q765" i="5"/>
  <c r="P765" i="5"/>
  <c r="O765" i="5"/>
  <c r="U764" i="5"/>
  <c r="T764" i="5"/>
  <c r="P764" i="5"/>
  <c r="O764" i="5"/>
  <c r="O763" i="5"/>
  <c r="N763" i="5"/>
  <c r="M763" i="5"/>
  <c r="P763" i="5" s="1"/>
  <c r="L763" i="5"/>
  <c r="N762" i="5"/>
  <c r="M762" i="5"/>
  <c r="P762" i="5" s="1"/>
  <c r="L762" i="5"/>
  <c r="U761" i="5"/>
  <c r="S761" i="5"/>
  <c r="R761" i="5"/>
  <c r="Q761" i="5"/>
  <c r="P761" i="5"/>
  <c r="O761" i="5"/>
  <c r="N761" i="5"/>
  <c r="M761" i="5"/>
  <c r="L761" i="5"/>
  <c r="N760" i="5"/>
  <c r="M760" i="5"/>
  <c r="P760" i="5" s="1"/>
  <c r="J759" i="5"/>
  <c r="J758" i="5"/>
  <c r="I756" i="5"/>
  <c r="K756" i="5" s="1"/>
  <c r="I753" i="5"/>
  <c r="K753" i="5" s="1"/>
  <c r="I750" i="5"/>
  <c r="K750" i="5" s="1"/>
  <c r="I747" i="5"/>
  <c r="K747" i="5" s="1"/>
  <c r="I745" i="5"/>
  <c r="K745" i="5" s="1"/>
  <c r="I743" i="5"/>
  <c r="K743" i="5" s="1"/>
  <c r="I741" i="5"/>
  <c r="K741" i="5" s="1"/>
  <c r="U737" i="5"/>
  <c r="T737" i="5"/>
  <c r="P737" i="5"/>
  <c r="O737" i="5"/>
  <c r="U736" i="5"/>
  <c r="T736" i="5"/>
  <c r="P736" i="5"/>
  <c r="O736" i="5"/>
  <c r="U735" i="5"/>
  <c r="S735" i="5"/>
  <c r="R735" i="5"/>
  <c r="Q735" i="5"/>
  <c r="T735" i="5" s="1"/>
  <c r="P735" i="5"/>
  <c r="O735" i="5"/>
  <c r="N735" i="5"/>
  <c r="M735" i="5"/>
  <c r="L735" i="5"/>
  <c r="S734" i="5"/>
  <c r="R734" i="5"/>
  <c r="R732" i="5" s="1"/>
  <c r="Q734" i="5"/>
  <c r="Q732" i="5" s="1"/>
  <c r="P734" i="5"/>
  <c r="O734" i="5"/>
  <c r="U733" i="5"/>
  <c r="T733" i="5"/>
  <c r="P733" i="5"/>
  <c r="O733" i="5"/>
  <c r="N732" i="5"/>
  <c r="M732" i="5"/>
  <c r="P732" i="5" s="1"/>
  <c r="L732" i="5"/>
  <c r="O732" i="5" s="1"/>
  <c r="P731" i="5"/>
  <c r="N731" i="5"/>
  <c r="M731" i="5"/>
  <c r="L731" i="5"/>
  <c r="O731" i="5" s="1"/>
  <c r="U730" i="5"/>
  <c r="T730" i="5"/>
  <c r="S730" i="5"/>
  <c r="R730" i="5"/>
  <c r="Q730" i="5"/>
  <c r="P730" i="5"/>
  <c r="O730" i="5"/>
  <c r="N730" i="5"/>
  <c r="M730" i="5"/>
  <c r="L730" i="5"/>
  <c r="N729" i="5"/>
  <c r="M729" i="5"/>
  <c r="P729" i="5" s="1"/>
  <c r="J728" i="5"/>
  <c r="I728" i="5"/>
  <c r="J727" i="5"/>
  <c r="I727" i="5"/>
  <c r="K727" i="5" s="1"/>
  <c r="U723" i="5"/>
  <c r="T723" i="5"/>
  <c r="P723" i="5"/>
  <c r="O723" i="5"/>
  <c r="U722" i="5"/>
  <c r="T722" i="5"/>
  <c r="P722" i="5"/>
  <c r="O722" i="5"/>
  <c r="T721" i="5"/>
  <c r="S721" i="5"/>
  <c r="R721" i="5"/>
  <c r="U721" i="5" s="1"/>
  <c r="Q721" i="5"/>
  <c r="N721" i="5"/>
  <c r="M721" i="5"/>
  <c r="P721" i="5" s="1"/>
  <c r="L721" i="5"/>
  <c r="O721" i="5" s="1"/>
  <c r="U720" i="5"/>
  <c r="T720" i="5"/>
  <c r="P720" i="5"/>
  <c r="O720" i="5"/>
  <c r="U719" i="5"/>
  <c r="T719" i="5"/>
  <c r="P719" i="5"/>
  <c r="O719" i="5"/>
  <c r="T718" i="5"/>
  <c r="S718" i="5"/>
  <c r="R718" i="5"/>
  <c r="U718" i="5" s="1"/>
  <c r="Q718" i="5"/>
  <c r="N718" i="5"/>
  <c r="M718" i="5"/>
  <c r="P718" i="5" s="1"/>
  <c r="L718" i="5"/>
  <c r="O718" i="5" s="1"/>
  <c r="S717" i="5"/>
  <c r="R717" i="5"/>
  <c r="U717" i="5" s="1"/>
  <c r="Q717" i="5"/>
  <c r="P717" i="5"/>
  <c r="N717" i="5"/>
  <c r="M717" i="5"/>
  <c r="L717" i="5"/>
  <c r="O717" i="5" s="1"/>
  <c r="U716" i="5"/>
  <c r="T716" i="5"/>
  <c r="S716" i="5"/>
  <c r="R716" i="5"/>
  <c r="Q716" i="5"/>
  <c r="P716" i="5"/>
  <c r="O716" i="5"/>
  <c r="N716" i="5"/>
  <c r="M716" i="5"/>
  <c r="L716" i="5"/>
  <c r="S715" i="5"/>
  <c r="R715" i="5"/>
  <c r="U715" i="5" s="1"/>
  <c r="N715" i="5"/>
  <c r="M715" i="5"/>
  <c r="P715" i="5" s="1"/>
  <c r="L715" i="5"/>
  <c r="O715" i="5" s="1"/>
  <c r="K713" i="5"/>
  <c r="J713" i="5"/>
  <c r="K711" i="5"/>
  <c r="J711" i="5"/>
  <c r="J710" i="5"/>
  <c r="I710" i="5"/>
  <c r="K709" i="5"/>
  <c r="J709" i="5"/>
  <c r="J708" i="5"/>
  <c r="J690" i="5" s="1"/>
  <c r="I708" i="5"/>
  <c r="I690" i="5" s="1"/>
  <c r="K707" i="5"/>
  <c r="J707" i="5"/>
  <c r="J706" i="5"/>
  <c r="I706" i="5"/>
  <c r="K705" i="5"/>
  <c r="J705" i="5"/>
  <c r="J704" i="5"/>
  <c r="I704" i="5"/>
  <c r="K703" i="5"/>
  <c r="I701" i="5"/>
  <c r="K701" i="5" s="1"/>
  <c r="U699" i="5"/>
  <c r="T699" i="5"/>
  <c r="P699" i="5"/>
  <c r="O699" i="5"/>
  <c r="U698" i="5"/>
  <c r="T698" i="5"/>
  <c r="P698" i="5"/>
  <c r="O698" i="5"/>
  <c r="S697" i="5"/>
  <c r="R697" i="5"/>
  <c r="U697" i="5" s="1"/>
  <c r="Q697" i="5"/>
  <c r="T697" i="5" s="1"/>
  <c r="N697" i="5"/>
  <c r="M697" i="5"/>
  <c r="P697" i="5" s="1"/>
  <c r="L697" i="5"/>
  <c r="O697" i="5" s="1"/>
  <c r="S696" i="5"/>
  <c r="S694" i="5" s="1"/>
  <c r="R696" i="5"/>
  <c r="Q696" i="5"/>
  <c r="P696" i="5"/>
  <c r="O696" i="5"/>
  <c r="U695" i="5"/>
  <c r="T695" i="5"/>
  <c r="P695" i="5"/>
  <c r="O695" i="5"/>
  <c r="P694" i="5"/>
  <c r="O694" i="5"/>
  <c r="N694" i="5"/>
  <c r="M694" i="5"/>
  <c r="L694" i="5"/>
  <c r="N693" i="5"/>
  <c r="N691" i="5" s="1"/>
  <c r="M693" i="5"/>
  <c r="L693" i="5"/>
  <c r="O693" i="5" s="1"/>
  <c r="S692" i="5"/>
  <c r="R692" i="5"/>
  <c r="Q692" i="5"/>
  <c r="P692" i="5"/>
  <c r="N692" i="5"/>
  <c r="M692" i="5"/>
  <c r="L692" i="5"/>
  <c r="J683" i="5"/>
  <c r="I683" i="5"/>
  <c r="K683" i="5" s="1"/>
  <c r="J682" i="5"/>
  <c r="I682" i="5"/>
  <c r="K682" i="5" s="1"/>
  <c r="J681" i="5"/>
  <c r="J680" i="5"/>
  <c r="I680" i="5"/>
  <c r="K680" i="5" s="1"/>
  <c r="J679" i="5"/>
  <c r="I679" i="5"/>
  <c r="K679" i="5" s="1"/>
  <c r="J678" i="5"/>
  <c r="J677" i="5"/>
  <c r="I677" i="5"/>
  <c r="K677" i="5" s="1"/>
  <c r="I676" i="5"/>
  <c r="K676" i="5" s="1"/>
  <c r="I675" i="5"/>
  <c r="K675" i="5" s="1"/>
  <c r="J674" i="5"/>
  <c r="I674" i="5"/>
  <c r="K674" i="5" s="1"/>
  <c r="J673" i="5"/>
  <c r="J672" i="5"/>
  <c r="J662" i="5"/>
  <c r="I662" i="5"/>
  <c r="K662" i="5" s="1"/>
  <c r="I661" i="5"/>
  <c r="I658" i="5"/>
  <c r="J655" i="5"/>
  <c r="I655" i="5"/>
  <c r="K655" i="5" s="1"/>
  <c r="J654" i="5"/>
  <c r="I654" i="5"/>
  <c r="K654" i="5" s="1"/>
  <c r="J653" i="5"/>
  <c r="I653" i="5"/>
  <c r="K653" i="5" s="1"/>
  <c r="U651" i="5"/>
  <c r="T651" i="5"/>
  <c r="P651" i="5"/>
  <c r="O651" i="5"/>
  <c r="U650" i="5"/>
  <c r="T650" i="5"/>
  <c r="P650" i="5"/>
  <c r="O650" i="5"/>
  <c r="S649" i="5"/>
  <c r="R649" i="5"/>
  <c r="U649" i="5" s="1"/>
  <c r="Q649" i="5"/>
  <c r="T649" i="5" s="1"/>
  <c r="N649" i="5"/>
  <c r="M649" i="5"/>
  <c r="P649" i="5" s="1"/>
  <c r="L649" i="5"/>
  <c r="O649" i="5" s="1"/>
  <c r="S648" i="5"/>
  <c r="R648" i="5"/>
  <c r="Q648" i="5"/>
  <c r="P648" i="5"/>
  <c r="O648" i="5"/>
  <c r="U647" i="5"/>
  <c r="T647" i="5"/>
  <c r="P647" i="5"/>
  <c r="O647" i="5"/>
  <c r="P646" i="5"/>
  <c r="O646" i="5"/>
  <c r="N646" i="5"/>
  <c r="M646" i="5"/>
  <c r="L646" i="5"/>
  <c r="N645" i="5"/>
  <c r="M645" i="5"/>
  <c r="L645" i="5"/>
  <c r="O645" i="5" s="1"/>
  <c r="S644" i="5"/>
  <c r="R644" i="5"/>
  <c r="Q644" i="5"/>
  <c r="P644" i="5"/>
  <c r="N644" i="5"/>
  <c r="M644" i="5"/>
  <c r="L644" i="5"/>
  <c r="N643" i="5"/>
  <c r="J637" i="5"/>
  <c r="J636" i="5"/>
  <c r="I636" i="5"/>
  <c r="K636" i="5" s="1"/>
  <c r="J633" i="5"/>
  <c r="I629" i="5"/>
  <c r="K629" i="5" s="1"/>
  <c r="I628" i="5"/>
  <c r="K628" i="5" s="1"/>
  <c r="J627" i="5"/>
  <c r="I627" i="5"/>
  <c r="U625" i="5"/>
  <c r="T625" i="5"/>
  <c r="P625" i="5"/>
  <c r="O625" i="5"/>
  <c r="U624" i="5"/>
  <c r="T624" i="5"/>
  <c r="P624" i="5"/>
  <c r="O624" i="5"/>
  <c r="T623" i="5"/>
  <c r="S623" i="5"/>
  <c r="R623" i="5"/>
  <c r="U623" i="5" s="1"/>
  <c r="Q623" i="5"/>
  <c r="N623" i="5"/>
  <c r="M623" i="5"/>
  <c r="P623" i="5" s="1"/>
  <c r="L623" i="5"/>
  <c r="O623" i="5" s="1"/>
  <c r="S622" i="5"/>
  <c r="S620" i="5" s="1"/>
  <c r="R622" i="5"/>
  <c r="Q622" i="5"/>
  <c r="Q620" i="5" s="1"/>
  <c r="P622" i="5"/>
  <c r="O622" i="5"/>
  <c r="U621" i="5"/>
  <c r="T621" i="5"/>
  <c r="P621" i="5"/>
  <c r="O621" i="5"/>
  <c r="P620" i="5"/>
  <c r="O620" i="5"/>
  <c r="N620" i="5"/>
  <c r="M620" i="5"/>
  <c r="L620" i="5"/>
  <c r="O619" i="5"/>
  <c r="N619" i="5"/>
  <c r="N617" i="5" s="1"/>
  <c r="M619" i="5"/>
  <c r="P619" i="5" s="1"/>
  <c r="L619" i="5"/>
  <c r="S618" i="5"/>
  <c r="R618" i="5"/>
  <c r="Q618" i="5"/>
  <c r="T618" i="5" s="1"/>
  <c r="N618" i="5"/>
  <c r="M618" i="5"/>
  <c r="L618" i="5"/>
  <c r="J616" i="5"/>
  <c r="U608" i="5"/>
  <c r="T608" i="5"/>
  <c r="P608" i="5"/>
  <c r="O608" i="5"/>
  <c r="U607" i="5"/>
  <c r="T607" i="5"/>
  <c r="P607" i="5"/>
  <c r="O607" i="5"/>
  <c r="T606" i="5"/>
  <c r="S606" i="5"/>
  <c r="R606" i="5"/>
  <c r="U606" i="5" s="1"/>
  <c r="Q606" i="5"/>
  <c r="N606" i="5"/>
  <c r="M606" i="5"/>
  <c r="P606" i="5" s="1"/>
  <c r="L606" i="5"/>
  <c r="O606" i="5" s="1"/>
  <c r="U605" i="5"/>
  <c r="T605" i="5"/>
  <c r="P605" i="5"/>
  <c r="O605" i="5"/>
  <c r="U604" i="5"/>
  <c r="T604" i="5"/>
  <c r="P604" i="5"/>
  <c r="O604" i="5"/>
  <c r="T603" i="5"/>
  <c r="S603" i="5"/>
  <c r="R603" i="5"/>
  <c r="U603" i="5" s="1"/>
  <c r="Q603" i="5"/>
  <c r="N603" i="5"/>
  <c r="M603" i="5"/>
  <c r="P603" i="5" s="1"/>
  <c r="L603" i="5"/>
  <c r="O603" i="5" s="1"/>
  <c r="S602" i="5"/>
  <c r="R602" i="5"/>
  <c r="U602" i="5" s="1"/>
  <c r="Q602" i="5"/>
  <c r="P602" i="5"/>
  <c r="N602" i="5"/>
  <c r="M602" i="5"/>
  <c r="L602" i="5"/>
  <c r="O602" i="5" s="1"/>
  <c r="U601" i="5"/>
  <c r="T601" i="5"/>
  <c r="S601" i="5"/>
  <c r="R601" i="5"/>
  <c r="Q601" i="5"/>
  <c r="P601" i="5"/>
  <c r="O601" i="5"/>
  <c r="N601" i="5"/>
  <c r="M601" i="5"/>
  <c r="L601" i="5"/>
  <c r="S600" i="5"/>
  <c r="R600" i="5"/>
  <c r="U600" i="5" s="1"/>
  <c r="N600" i="5"/>
  <c r="M600" i="5"/>
  <c r="P600" i="5" s="1"/>
  <c r="L600" i="5"/>
  <c r="O600" i="5" s="1"/>
  <c r="U585" i="5"/>
  <c r="T585" i="5"/>
  <c r="P585" i="5"/>
  <c r="O585" i="5"/>
  <c r="U584" i="5"/>
  <c r="T584" i="5"/>
  <c r="P584" i="5"/>
  <c r="O584" i="5"/>
  <c r="T583" i="5"/>
  <c r="S583" i="5"/>
  <c r="R583" i="5"/>
  <c r="U583" i="5" s="1"/>
  <c r="Q583" i="5"/>
  <c r="N583" i="5"/>
  <c r="M583" i="5"/>
  <c r="P583" i="5" s="1"/>
  <c r="L583" i="5"/>
  <c r="O583" i="5" s="1"/>
  <c r="U582" i="5"/>
  <c r="T582" i="5"/>
  <c r="P582" i="5"/>
  <c r="O582" i="5"/>
  <c r="U581" i="5"/>
  <c r="T581" i="5"/>
  <c r="P581" i="5"/>
  <c r="O581" i="5"/>
  <c r="T580" i="5"/>
  <c r="S580" i="5"/>
  <c r="R580" i="5"/>
  <c r="U580" i="5" s="1"/>
  <c r="Q580" i="5"/>
  <c r="N580" i="5"/>
  <c r="M580" i="5"/>
  <c r="P580" i="5" s="1"/>
  <c r="L580" i="5"/>
  <c r="O580" i="5" s="1"/>
  <c r="S579" i="5"/>
  <c r="R579" i="5"/>
  <c r="U579" i="5" s="1"/>
  <c r="Q579" i="5"/>
  <c r="P579" i="5"/>
  <c r="N579" i="5"/>
  <c r="M579" i="5"/>
  <c r="L579" i="5"/>
  <c r="O579" i="5" s="1"/>
  <c r="U578" i="5"/>
  <c r="T578" i="5"/>
  <c r="S578" i="5"/>
  <c r="R578" i="5"/>
  <c r="Q578" i="5"/>
  <c r="P578" i="5"/>
  <c r="O578" i="5"/>
  <c r="N578" i="5"/>
  <c r="M578" i="5"/>
  <c r="L578" i="5"/>
  <c r="S577" i="5"/>
  <c r="R577" i="5"/>
  <c r="U577" i="5" s="1"/>
  <c r="N577" i="5"/>
  <c r="M577" i="5"/>
  <c r="P577" i="5" s="1"/>
  <c r="L577" i="5"/>
  <c r="O577" i="5" s="1"/>
  <c r="K576" i="5"/>
  <c r="J576" i="5"/>
  <c r="I576" i="5"/>
  <c r="U564" i="5"/>
  <c r="T564" i="5"/>
  <c r="P564" i="5"/>
  <c r="O564" i="5"/>
  <c r="U563" i="5"/>
  <c r="T563" i="5"/>
  <c r="P563" i="5"/>
  <c r="O563" i="5"/>
  <c r="U562" i="5"/>
  <c r="S562" i="5"/>
  <c r="R562" i="5"/>
  <c r="Q562" i="5"/>
  <c r="T562" i="5" s="1"/>
  <c r="O562" i="5"/>
  <c r="N562" i="5"/>
  <c r="M562" i="5"/>
  <c r="P562" i="5" s="1"/>
  <c r="L562" i="5"/>
  <c r="U561" i="5"/>
  <c r="T561" i="5"/>
  <c r="P561" i="5"/>
  <c r="O561" i="5"/>
  <c r="U560" i="5"/>
  <c r="T560" i="5"/>
  <c r="P560" i="5"/>
  <c r="O560" i="5"/>
  <c r="U559" i="5"/>
  <c r="S559" i="5"/>
  <c r="R559" i="5"/>
  <c r="Q559" i="5"/>
  <c r="T559" i="5" s="1"/>
  <c r="O559" i="5"/>
  <c r="N559" i="5"/>
  <c r="M559" i="5"/>
  <c r="P559" i="5" s="1"/>
  <c r="L559" i="5"/>
  <c r="U558" i="5"/>
  <c r="S558" i="5"/>
  <c r="R558" i="5"/>
  <c r="Q558" i="5"/>
  <c r="T558" i="5" s="1"/>
  <c r="O558" i="5"/>
  <c r="N558" i="5"/>
  <c r="M558" i="5"/>
  <c r="P558" i="5" s="1"/>
  <c r="L558" i="5"/>
  <c r="S557" i="5"/>
  <c r="S556" i="5" s="1"/>
  <c r="R557" i="5"/>
  <c r="Q557" i="5"/>
  <c r="T557" i="5" s="1"/>
  <c r="N557" i="5"/>
  <c r="N556" i="5" s="1"/>
  <c r="M557" i="5"/>
  <c r="P557" i="5" s="1"/>
  <c r="L557" i="5"/>
  <c r="L556" i="5" s="1"/>
  <c r="O556" i="5" s="1"/>
  <c r="M556" i="5"/>
  <c r="P556" i="5" s="1"/>
  <c r="K555" i="5"/>
  <c r="J555" i="5"/>
  <c r="I555" i="5"/>
  <c r="U543" i="5"/>
  <c r="T543" i="5"/>
  <c r="P543" i="5"/>
  <c r="O543" i="5"/>
  <c r="U542" i="5"/>
  <c r="T542" i="5"/>
  <c r="P542" i="5"/>
  <c r="O542" i="5"/>
  <c r="T541" i="5"/>
  <c r="S541" i="5"/>
  <c r="R541" i="5"/>
  <c r="U541" i="5" s="1"/>
  <c r="Q541" i="5"/>
  <c r="N541" i="5"/>
  <c r="M541" i="5"/>
  <c r="P541" i="5" s="1"/>
  <c r="L541" i="5"/>
  <c r="O541" i="5" s="1"/>
  <c r="U540" i="5"/>
  <c r="T540" i="5"/>
  <c r="P540" i="5"/>
  <c r="O540" i="5"/>
  <c r="U539" i="5"/>
  <c r="T539" i="5"/>
  <c r="P539" i="5"/>
  <c r="O539" i="5"/>
  <c r="T538" i="5"/>
  <c r="S538" i="5"/>
  <c r="R538" i="5"/>
  <c r="U538" i="5" s="1"/>
  <c r="Q538" i="5"/>
  <c r="N538" i="5"/>
  <c r="M538" i="5"/>
  <c r="P538" i="5" s="1"/>
  <c r="L538" i="5"/>
  <c r="O538" i="5" s="1"/>
  <c r="T537" i="5"/>
  <c r="S537" i="5"/>
  <c r="R537" i="5"/>
  <c r="U537" i="5" s="1"/>
  <c r="Q537" i="5"/>
  <c r="Q535" i="5" s="1"/>
  <c r="P537" i="5"/>
  <c r="N537" i="5"/>
  <c r="M537" i="5"/>
  <c r="L537" i="5"/>
  <c r="T536" i="5"/>
  <c r="S536" i="5"/>
  <c r="R536" i="5"/>
  <c r="U536" i="5" s="1"/>
  <c r="Q536" i="5"/>
  <c r="P536" i="5"/>
  <c r="N536" i="5"/>
  <c r="M536" i="5"/>
  <c r="L536" i="5"/>
  <c r="O536" i="5" s="1"/>
  <c r="T535" i="5"/>
  <c r="S535" i="5"/>
  <c r="P535" i="5"/>
  <c r="N535" i="5"/>
  <c r="M535" i="5"/>
  <c r="K534" i="5"/>
  <c r="J534" i="5"/>
  <c r="I534" i="5"/>
  <c r="K525" i="5"/>
  <c r="K524" i="5"/>
  <c r="U522" i="5"/>
  <c r="T522" i="5"/>
  <c r="N522" i="5"/>
  <c r="M522" i="5"/>
  <c r="M520" i="5" s="1"/>
  <c r="P520" i="5" s="1"/>
  <c r="L522" i="5"/>
  <c r="L520" i="5" s="1"/>
  <c r="O520" i="5" s="1"/>
  <c r="U521" i="5"/>
  <c r="T521" i="5"/>
  <c r="P521" i="5"/>
  <c r="O521" i="5"/>
  <c r="T520" i="5"/>
  <c r="S520" i="5"/>
  <c r="R520" i="5"/>
  <c r="U520" i="5" s="1"/>
  <c r="Q520" i="5"/>
  <c r="U519" i="5"/>
  <c r="T519" i="5"/>
  <c r="N519" i="5"/>
  <c r="N517" i="5" s="1"/>
  <c r="M519" i="5"/>
  <c r="M517" i="5" s="1"/>
  <c r="P517" i="5" s="1"/>
  <c r="L519" i="5"/>
  <c r="U518" i="5"/>
  <c r="T518" i="5"/>
  <c r="P518" i="5"/>
  <c r="O518" i="5"/>
  <c r="U517" i="5"/>
  <c r="S517" i="5"/>
  <c r="R517" i="5"/>
  <c r="Q517" i="5"/>
  <c r="T517" i="5" s="1"/>
  <c r="U516" i="5"/>
  <c r="S516" i="5"/>
  <c r="S514" i="5" s="1"/>
  <c r="R516" i="5"/>
  <c r="Q516" i="5"/>
  <c r="T516" i="5" s="1"/>
  <c r="U515" i="5"/>
  <c r="T515" i="5"/>
  <c r="S515" i="5"/>
  <c r="R515" i="5"/>
  <c r="Q515" i="5"/>
  <c r="O515" i="5"/>
  <c r="N515" i="5"/>
  <c r="M515" i="5"/>
  <c r="L515" i="5"/>
  <c r="U514" i="5"/>
  <c r="R514" i="5"/>
  <c r="Q514" i="5"/>
  <c r="T514" i="5" s="1"/>
  <c r="K513" i="5"/>
  <c r="J513" i="5"/>
  <c r="I513" i="5"/>
  <c r="I510" i="5"/>
  <c r="K510" i="5" s="1"/>
  <c r="K509" i="5"/>
  <c r="I508" i="5"/>
  <c r="K508" i="5" s="1"/>
  <c r="I507" i="5"/>
  <c r="K507" i="5" s="1"/>
  <c r="I506" i="5"/>
  <c r="K506" i="5" s="1"/>
  <c r="I505" i="5"/>
  <c r="K505" i="5" s="1"/>
  <c r="I504" i="5"/>
  <c r="K504" i="5" s="1"/>
  <c r="U502" i="5"/>
  <c r="T502" i="5"/>
  <c r="P502" i="5"/>
  <c r="O502" i="5"/>
  <c r="U501" i="5"/>
  <c r="T501" i="5"/>
  <c r="P501" i="5"/>
  <c r="O501" i="5"/>
  <c r="T500" i="5"/>
  <c r="S500" i="5"/>
  <c r="R500" i="5"/>
  <c r="U500" i="5" s="1"/>
  <c r="Q500" i="5"/>
  <c r="P500" i="5"/>
  <c r="N500" i="5"/>
  <c r="M500" i="5"/>
  <c r="L500" i="5"/>
  <c r="O500" i="5" s="1"/>
  <c r="S499" i="5"/>
  <c r="S497" i="5" s="1"/>
  <c r="R499" i="5"/>
  <c r="Q499" i="5"/>
  <c r="P499" i="5"/>
  <c r="O499" i="5"/>
  <c r="U498" i="5"/>
  <c r="T498" i="5"/>
  <c r="P498" i="5"/>
  <c r="O498" i="5"/>
  <c r="O497" i="5"/>
  <c r="N497" i="5"/>
  <c r="M497" i="5"/>
  <c r="P497" i="5" s="1"/>
  <c r="L497" i="5"/>
  <c r="N496" i="5"/>
  <c r="M496" i="5"/>
  <c r="P496" i="5" s="1"/>
  <c r="L496" i="5"/>
  <c r="L494" i="5" s="1"/>
  <c r="O494" i="5" s="1"/>
  <c r="U495" i="5"/>
  <c r="S495" i="5"/>
  <c r="R495" i="5"/>
  <c r="Q495" i="5"/>
  <c r="T495" i="5" s="1"/>
  <c r="O495" i="5"/>
  <c r="N495" i="5"/>
  <c r="M495" i="5"/>
  <c r="M494" i="5" s="1"/>
  <c r="P494" i="5" s="1"/>
  <c r="L495" i="5"/>
  <c r="N494" i="5"/>
  <c r="I493" i="5"/>
  <c r="K493" i="5" s="1"/>
  <c r="K486" i="5"/>
  <c r="J486" i="5"/>
  <c r="I486" i="5"/>
  <c r="J485" i="5"/>
  <c r="I485" i="5"/>
  <c r="K485" i="5" s="1"/>
  <c r="J484" i="5"/>
  <c r="J483" i="5"/>
  <c r="K478" i="5"/>
  <c r="J478" i="5"/>
  <c r="K477" i="5"/>
  <c r="J477" i="5"/>
  <c r="K476" i="5"/>
  <c r="J476" i="5"/>
  <c r="J469" i="5"/>
  <c r="J468" i="5"/>
  <c r="J461" i="5"/>
  <c r="J460" i="5"/>
  <c r="J458" i="5" s="1"/>
  <c r="J459" i="5"/>
  <c r="I459" i="5"/>
  <c r="K459" i="5" s="1"/>
  <c r="I458" i="5"/>
  <c r="J457" i="5"/>
  <c r="J448" i="5"/>
  <c r="J447" i="5"/>
  <c r="J442" i="5"/>
  <c r="I442" i="5"/>
  <c r="K442" i="5" s="1"/>
  <c r="J441" i="5"/>
  <c r="I441" i="5"/>
  <c r="J434" i="5"/>
  <c r="I434" i="5"/>
  <c r="K434" i="5" s="1"/>
  <c r="J433" i="5"/>
  <c r="I433" i="5"/>
  <c r="K433" i="5" s="1"/>
  <c r="J426" i="5"/>
  <c r="I426" i="5"/>
  <c r="K426" i="5" s="1"/>
  <c r="J425" i="5"/>
  <c r="I425" i="5"/>
  <c r="K425" i="5" s="1"/>
  <c r="J424" i="5"/>
  <c r="J413" i="5" s="1"/>
  <c r="U422" i="5"/>
  <c r="T422" i="5"/>
  <c r="P422" i="5"/>
  <c r="O422" i="5"/>
  <c r="U421" i="5"/>
  <c r="T421" i="5"/>
  <c r="P421" i="5"/>
  <c r="O421" i="5"/>
  <c r="T420" i="5"/>
  <c r="S420" i="5"/>
  <c r="R420" i="5"/>
  <c r="U420" i="5" s="1"/>
  <c r="Q420" i="5"/>
  <c r="P420" i="5"/>
  <c r="N420" i="5"/>
  <c r="M420" i="5"/>
  <c r="L420" i="5"/>
  <c r="O420" i="5" s="1"/>
  <c r="S419" i="5"/>
  <c r="S417" i="5" s="1"/>
  <c r="R419" i="5"/>
  <c r="Q419" i="5"/>
  <c r="P419" i="5"/>
  <c r="O419" i="5"/>
  <c r="U418" i="5"/>
  <c r="T418" i="5"/>
  <c r="P418" i="5"/>
  <c r="O418" i="5"/>
  <c r="P417" i="5"/>
  <c r="O417" i="5"/>
  <c r="N417" i="5"/>
  <c r="M417" i="5"/>
  <c r="L417" i="5"/>
  <c r="N416" i="5"/>
  <c r="M416" i="5"/>
  <c r="P416" i="5" s="1"/>
  <c r="L416" i="5"/>
  <c r="O416" i="5" s="1"/>
  <c r="U415" i="5"/>
  <c r="S415" i="5"/>
  <c r="R415" i="5"/>
  <c r="Q415" i="5"/>
  <c r="T415" i="5" s="1"/>
  <c r="O415" i="5"/>
  <c r="N415" i="5"/>
  <c r="M415" i="5"/>
  <c r="M414" i="5" s="1"/>
  <c r="P414" i="5" s="1"/>
  <c r="L415" i="5"/>
  <c r="N414" i="5"/>
  <c r="U401" i="5"/>
  <c r="T401" i="5"/>
  <c r="P401" i="5"/>
  <c r="O401" i="5"/>
  <c r="U400" i="5"/>
  <c r="T400" i="5"/>
  <c r="P400" i="5"/>
  <c r="O400" i="5"/>
  <c r="T399" i="5"/>
  <c r="S399" i="5"/>
  <c r="R399" i="5"/>
  <c r="U399" i="5" s="1"/>
  <c r="Q399" i="5"/>
  <c r="P399" i="5"/>
  <c r="N399" i="5"/>
  <c r="M399" i="5"/>
  <c r="L399" i="5"/>
  <c r="O399" i="5" s="1"/>
  <c r="U398" i="5"/>
  <c r="T398" i="5"/>
  <c r="P398" i="5"/>
  <c r="O398" i="5"/>
  <c r="U397" i="5"/>
  <c r="T397" i="5"/>
  <c r="P397" i="5"/>
  <c r="O397" i="5"/>
  <c r="T396" i="5"/>
  <c r="S396" i="5"/>
  <c r="R396" i="5"/>
  <c r="U396" i="5" s="1"/>
  <c r="Q396" i="5"/>
  <c r="P396" i="5"/>
  <c r="N396" i="5"/>
  <c r="M396" i="5"/>
  <c r="L396" i="5"/>
  <c r="O396" i="5" s="1"/>
  <c r="T395" i="5"/>
  <c r="S395" i="5"/>
  <c r="R395" i="5"/>
  <c r="U395" i="5" s="1"/>
  <c r="Q395" i="5"/>
  <c r="P395" i="5"/>
  <c r="N395" i="5"/>
  <c r="M395" i="5"/>
  <c r="L395" i="5"/>
  <c r="O395" i="5" s="1"/>
  <c r="S394" i="5"/>
  <c r="S393" i="5" s="1"/>
  <c r="R394" i="5"/>
  <c r="U394" i="5" s="1"/>
  <c r="Q394" i="5"/>
  <c r="T394" i="5" s="1"/>
  <c r="P394" i="5"/>
  <c r="N394" i="5"/>
  <c r="N393" i="5" s="1"/>
  <c r="M394" i="5"/>
  <c r="L394" i="5"/>
  <c r="O394" i="5" s="1"/>
  <c r="Q393" i="5"/>
  <c r="T393" i="5" s="1"/>
  <c r="K392" i="5"/>
  <c r="J392" i="5"/>
  <c r="I392" i="5"/>
  <c r="J389" i="5"/>
  <c r="I389" i="5"/>
  <c r="K389" i="5" s="1"/>
  <c r="K388" i="5"/>
  <c r="J388" i="5"/>
  <c r="J387" i="5"/>
  <c r="I387" i="5"/>
  <c r="K386" i="5"/>
  <c r="J386" i="5"/>
  <c r="U384" i="5"/>
  <c r="T384" i="5"/>
  <c r="P384" i="5"/>
  <c r="O384" i="5"/>
  <c r="U383" i="5"/>
  <c r="T383" i="5"/>
  <c r="P383" i="5"/>
  <c r="O383" i="5"/>
  <c r="S382" i="5"/>
  <c r="R382" i="5"/>
  <c r="U382" i="5" s="1"/>
  <c r="Q382" i="5"/>
  <c r="T382" i="5" s="1"/>
  <c r="P382" i="5"/>
  <c r="N382" i="5"/>
  <c r="M382" i="5"/>
  <c r="L382" i="5"/>
  <c r="O382" i="5" s="1"/>
  <c r="S381" i="5"/>
  <c r="R381" i="5"/>
  <c r="U381" i="5" s="1"/>
  <c r="Q381" i="5"/>
  <c r="Q379" i="5" s="1"/>
  <c r="P381" i="5"/>
  <c r="O381" i="5"/>
  <c r="U380" i="5"/>
  <c r="T380" i="5"/>
  <c r="P380" i="5"/>
  <c r="O380" i="5"/>
  <c r="P379" i="5"/>
  <c r="N379" i="5"/>
  <c r="M379" i="5"/>
  <c r="L379" i="5"/>
  <c r="O379" i="5" s="1"/>
  <c r="P378" i="5"/>
  <c r="N378" i="5"/>
  <c r="M378" i="5"/>
  <c r="L378" i="5"/>
  <c r="O378" i="5" s="1"/>
  <c r="T377" i="5"/>
  <c r="S377" i="5"/>
  <c r="R377" i="5"/>
  <c r="U377" i="5" s="1"/>
  <c r="Q377" i="5"/>
  <c r="P377" i="5"/>
  <c r="N377" i="5"/>
  <c r="N376" i="5" s="1"/>
  <c r="M377" i="5"/>
  <c r="L377" i="5"/>
  <c r="O377" i="5" s="1"/>
  <c r="M376" i="5"/>
  <c r="P376" i="5" s="1"/>
  <c r="D374" i="5"/>
  <c r="K373" i="5"/>
  <c r="J373" i="5"/>
  <c r="J372" i="5"/>
  <c r="J366" i="5" s="1"/>
  <c r="I372" i="5"/>
  <c r="I366" i="5" s="1"/>
  <c r="K371" i="5"/>
  <c r="J371" i="5"/>
  <c r="J370" i="5"/>
  <c r="I370" i="5"/>
  <c r="J369" i="5"/>
  <c r="I369" i="5"/>
  <c r="K368" i="5"/>
  <c r="J368" i="5"/>
  <c r="U365" i="5"/>
  <c r="T365" i="5"/>
  <c r="N365" i="5"/>
  <c r="N363" i="5" s="1"/>
  <c r="M365" i="5"/>
  <c r="M363" i="5" s="1"/>
  <c r="P363" i="5" s="1"/>
  <c r="L365" i="5"/>
  <c r="U364" i="5"/>
  <c r="T364" i="5"/>
  <c r="P364" i="5"/>
  <c r="O364" i="5"/>
  <c r="U363" i="5"/>
  <c r="S363" i="5"/>
  <c r="R363" i="5"/>
  <c r="Q363" i="5"/>
  <c r="T363" i="5" s="1"/>
  <c r="U362" i="5"/>
  <c r="T362" i="5"/>
  <c r="N362" i="5"/>
  <c r="M362" i="5"/>
  <c r="L362" i="5"/>
  <c r="L360" i="5" s="1"/>
  <c r="U361" i="5"/>
  <c r="T361" i="5"/>
  <c r="P361" i="5"/>
  <c r="O361" i="5"/>
  <c r="T360" i="5"/>
  <c r="S360" i="5"/>
  <c r="R360" i="5"/>
  <c r="U360" i="5" s="1"/>
  <c r="Q360" i="5"/>
  <c r="U359" i="5"/>
  <c r="S359" i="5"/>
  <c r="R359" i="5"/>
  <c r="Q359" i="5"/>
  <c r="T359" i="5" s="1"/>
  <c r="T358" i="5"/>
  <c r="S358" i="5"/>
  <c r="R358" i="5"/>
  <c r="U358" i="5" s="1"/>
  <c r="Q358" i="5"/>
  <c r="P358" i="5"/>
  <c r="N358" i="5"/>
  <c r="M358" i="5"/>
  <c r="L358" i="5"/>
  <c r="O358" i="5" s="1"/>
  <c r="S357" i="5"/>
  <c r="Q357" i="5"/>
  <c r="T357" i="5" s="1"/>
  <c r="D355" i="5"/>
  <c r="J354" i="5"/>
  <c r="J353" i="5"/>
  <c r="D351" i="5"/>
  <c r="J350" i="5"/>
  <c r="J349" i="5"/>
  <c r="J348" i="5"/>
  <c r="J347" i="5"/>
  <c r="I347" i="5"/>
  <c r="J345" i="5"/>
  <c r="I345" i="5"/>
  <c r="U342" i="5"/>
  <c r="T342" i="5"/>
  <c r="N342" i="5"/>
  <c r="N340" i="5" s="1"/>
  <c r="M342" i="5"/>
  <c r="L342" i="5"/>
  <c r="O342" i="5" s="1"/>
  <c r="U341" i="5"/>
  <c r="T341" i="5"/>
  <c r="P341" i="5"/>
  <c r="O341" i="5"/>
  <c r="S340" i="5"/>
  <c r="R340" i="5"/>
  <c r="U340" i="5" s="1"/>
  <c r="Q340" i="5"/>
  <c r="T340" i="5" s="1"/>
  <c r="U339" i="5"/>
  <c r="T339" i="5"/>
  <c r="N339" i="5"/>
  <c r="N337" i="5" s="1"/>
  <c r="M339" i="5"/>
  <c r="L339" i="5"/>
  <c r="L337" i="5" s="1"/>
  <c r="U338" i="5"/>
  <c r="T338" i="5"/>
  <c r="P338" i="5"/>
  <c r="O338" i="5"/>
  <c r="U337" i="5"/>
  <c r="T337" i="5"/>
  <c r="S337" i="5"/>
  <c r="R337" i="5"/>
  <c r="Q337" i="5"/>
  <c r="U336" i="5"/>
  <c r="S336" i="5"/>
  <c r="R336" i="5"/>
  <c r="Q336" i="5"/>
  <c r="T336" i="5" s="1"/>
  <c r="U335" i="5"/>
  <c r="S335" i="5"/>
  <c r="S334" i="5" s="1"/>
  <c r="R335" i="5"/>
  <c r="Q335" i="5"/>
  <c r="T335" i="5" s="1"/>
  <c r="O335" i="5"/>
  <c r="N335" i="5"/>
  <c r="M335" i="5"/>
  <c r="P335" i="5" s="1"/>
  <c r="L335" i="5"/>
  <c r="I331" i="5"/>
  <c r="K331" i="5" s="1"/>
  <c r="U329" i="5"/>
  <c r="T329" i="5"/>
  <c r="N329" i="5"/>
  <c r="M329" i="5"/>
  <c r="L329" i="5"/>
  <c r="U328" i="5"/>
  <c r="T328" i="5"/>
  <c r="P328" i="5"/>
  <c r="O328" i="5"/>
  <c r="S327" i="5"/>
  <c r="R327" i="5"/>
  <c r="U327" i="5" s="1"/>
  <c r="Q327" i="5"/>
  <c r="T327" i="5" s="1"/>
  <c r="U326" i="5"/>
  <c r="T326" i="5"/>
  <c r="N326" i="5"/>
  <c r="N324" i="5" s="1"/>
  <c r="M326" i="5"/>
  <c r="P326" i="5" s="1"/>
  <c r="L326" i="5"/>
  <c r="O326" i="5" s="1"/>
  <c r="U325" i="5"/>
  <c r="T325" i="5"/>
  <c r="P325" i="5"/>
  <c r="O325" i="5"/>
  <c r="U324" i="5"/>
  <c r="T324" i="5"/>
  <c r="S324" i="5"/>
  <c r="R324" i="5"/>
  <c r="Q324" i="5"/>
  <c r="T323" i="5"/>
  <c r="S323" i="5"/>
  <c r="R323" i="5"/>
  <c r="U323" i="5" s="1"/>
  <c r="Q323" i="5"/>
  <c r="U322" i="5"/>
  <c r="S322" i="5"/>
  <c r="R322" i="5"/>
  <c r="Q322" i="5"/>
  <c r="Q321" i="5" s="1"/>
  <c r="T321" i="5" s="1"/>
  <c r="P322" i="5"/>
  <c r="O322" i="5"/>
  <c r="N322" i="5"/>
  <c r="M322" i="5"/>
  <c r="L322" i="5"/>
  <c r="U321" i="5"/>
  <c r="S321" i="5"/>
  <c r="R321" i="5"/>
  <c r="J320" i="5"/>
  <c r="I315" i="5"/>
  <c r="K315" i="5" s="1"/>
  <c r="U312" i="5"/>
  <c r="T312" i="5"/>
  <c r="N312" i="5"/>
  <c r="N310" i="5" s="1"/>
  <c r="M312" i="5"/>
  <c r="M310" i="5" s="1"/>
  <c r="P310" i="5" s="1"/>
  <c r="L312" i="5"/>
  <c r="U311" i="5"/>
  <c r="T311" i="5"/>
  <c r="P311" i="5"/>
  <c r="O311" i="5"/>
  <c r="U310" i="5"/>
  <c r="S310" i="5"/>
  <c r="R310" i="5"/>
  <c r="Q310" i="5"/>
  <c r="T310" i="5" s="1"/>
  <c r="S309" i="5"/>
  <c r="R309" i="5"/>
  <c r="R307" i="5" s="1"/>
  <c r="Q309" i="5"/>
  <c r="Q307" i="5" s="1"/>
  <c r="N309" i="5"/>
  <c r="M309" i="5"/>
  <c r="M307" i="5" s="1"/>
  <c r="L309" i="5"/>
  <c r="U308" i="5"/>
  <c r="T308" i="5"/>
  <c r="P308" i="5"/>
  <c r="O308" i="5"/>
  <c r="S305" i="5"/>
  <c r="R305" i="5"/>
  <c r="U305" i="5" s="1"/>
  <c r="Q305" i="5"/>
  <c r="T305" i="5" s="1"/>
  <c r="P305" i="5"/>
  <c r="N305" i="5"/>
  <c r="M305" i="5"/>
  <c r="L305" i="5"/>
  <c r="O305" i="5" s="1"/>
  <c r="J303" i="5"/>
  <c r="I297" i="5"/>
  <c r="K297" i="5" s="1"/>
  <c r="I296" i="5"/>
  <c r="K296" i="5" s="1"/>
  <c r="J294" i="5"/>
  <c r="J281" i="5" s="1"/>
  <c r="I294" i="5"/>
  <c r="K294" i="5" s="1"/>
  <c r="I293" i="5"/>
  <c r="K293" i="5" s="1"/>
  <c r="U291" i="5"/>
  <c r="T291" i="5"/>
  <c r="N291" i="5"/>
  <c r="N289" i="5" s="1"/>
  <c r="M291" i="5"/>
  <c r="P291" i="5" s="1"/>
  <c r="L291" i="5"/>
  <c r="O291" i="5" s="1"/>
  <c r="U290" i="5"/>
  <c r="T290" i="5"/>
  <c r="P290" i="5"/>
  <c r="O290" i="5"/>
  <c r="T289" i="5"/>
  <c r="S289" i="5"/>
  <c r="R289" i="5"/>
  <c r="U289" i="5" s="1"/>
  <c r="Q289" i="5"/>
  <c r="U288" i="5"/>
  <c r="T288" i="5"/>
  <c r="N288" i="5"/>
  <c r="N286" i="5" s="1"/>
  <c r="M288" i="5"/>
  <c r="M286" i="5" s="1"/>
  <c r="L288" i="5"/>
  <c r="U287" i="5"/>
  <c r="T287" i="5"/>
  <c r="P287" i="5"/>
  <c r="O287" i="5"/>
  <c r="T286" i="5"/>
  <c r="S286" i="5"/>
  <c r="R286" i="5"/>
  <c r="U286" i="5" s="1"/>
  <c r="Q286" i="5"/>
  <c r="U285" i="5"/>
  <c r="T285" i="5"/>
  <c r="S285" i="5"/>
  <c r="R285" i="5"/>
  <c r="Q285" i="5"/>
  <c r="T284" i="5"/>
  <c r="S284" i="5"/>
  <c r="R284" i="5"/>
  <c r="U284" i="5" s="1"/>
  <c r="Q284" i="5"/>
  <c r="N284" i="5"/>
  <c r="M284" i="5"/>
  <c r="L284" i="5"/>
  <c r="O284" i="5" s="1"/>
  <c r="Q283" i="5"/>
  <c r="T283" i="5" s="1"/>
  <c r="J282" i="5"/>
  <c r="I277" i="5"/>
  <c r="K277" i="5" s="1"/>
  <c r="U275" i="5"/>
  <c r="T275" i="5"/>
  <c r="N275" i="5"/>
  <c r="N273" i="5" s="1"/>
  <c r="M275" i="5"/>
  <c r="L275" i="5"/>
  <c r="L273" i="5" s="1"/>
  <c r="O273" i="5" s="1"/>
  <c r="U274" i="5"/>
  <c r="T274" i="5"/>
  <c r="P274" i="5"/>
  <c r="O274" i="5"/>
  <c r="U273" i="5"/>
  <c r="T273" i="5"/>
  <c r="S273" i="5"/>
  <c r="R273" i="5"/>
  <c r="Q273" i="5"/>
  <c r="S272" i="5"/>
  <c r="S270" i="5" s="1"/>
  <c r="R272" i="5"/>
  <c r="Q272" i="5"/>
  <c r="N272" i="5"/>
  <c r="N270" i="5" s="1"/>
  <c r="M272" i="5"/>
  <c r="L272" i="5"/>
  <c r="U271" i="5"/>
  <c r="T271" i="5"/>
  <c r="P271" i="5"/>
  <c r="O271" i="5"/>
  <c r="T268" i="5"/>
  <c r="S268" i="5"/>
  <c r="R268" i="5"/>
  <c r="U268" i="5" s="1"/>
  <c r="Q268" i="5"/>
  <c r="P268" i="5"/>
  <c r="N268" i="5"/>
  <c r="M268" i="5"/>
  <c r="L268" i="5"/>
  <c r="O268" i="5" s="1"/>
  <c r="J266" i="5"/>
  <c r="K264" i="5"/>
  <c r="K263" i="5"/>
  <c r="I261" i="5"/>
  <c r="K261" i="5" s="1"/>
  <c r="L259" i="5"/>
  <c r="L258" i="5"/>
  <c r="L257" i="5"/>
  <c r="L256" i="5"/>
  <c r="P255" i="5"/>
  <c r="N255" i="5"/>
  <c r="N233" i="5" s="1"/>
  <c r="J254" i="5"/>
  <c r="K253" i="5"/>
  <c r="K252" i="5"/>
  <c r="I250" i="5"/>
  <c r="L248" i="5"/>
  <c r="L247" i="5"/>
  <c r="L246" i="5"/>
  <c r="L245" i="5"/>
  <c r="P244" i="5"/>
  <c r="N244" i="5"/>
  <c r="J243" i="5"/>
  <c r="J232" i="5" s="1"/>
  <c r="J186" i="5" s="1"/>
  <c r="K242" i="5"/>
  <c r="J242" i="5"/>
  <c r="I242" i="5"/>
  <c r="K241" i="5"/>
  <c r="J241" i="5"/>
  <c r="I241" i="5"/>
  <c r="J239" i="5"/>
  <c r="N237" i="5"/>
  <c r="N236" i="5"/>
  <c r="N235" i="5"/>
  <c r="N234" i="5"/>
  <c r="I231" i="5"/>
  <c r="K231" i="5" s="1"/>
  <c r="I230" i="5"/>
  <c r="I229" i="5"/>
  <c r="K229" i="5" s="1"/>
  <c r="L226" i="5"/>
  <c r="L225" i="5"/>
  <c r="L224" i="5"/>
  <c r="P223" i="5"/>
  <c r="N223" i="5"/>
  <c r="J222" i="5"/>
  <c r="I221" i="5"/>
  <c r="I220" i="5"/>
  <c r="K220" i="5" s="1"/>
  <c r="L218" i="5"/>
  <c r="L217" i="5"/>
  <c r="L216" i="5"/>
  <c r="P215" i="5"/>
  <c r="N215" i="5"/>
  <c r="J214" i="5"/>
  <c r="I213" i="5"/>
  <c r="K213" i="5" s="1"/>
  <c r="I212" i="5"/>
  <c r="K212" i="5" s="1"/>
  <c r="I210" i="5"/>
  <c r="K210" i="5" s="1"/>
  <c r="L208" i="5"/>
  <c r="L207" i="5"/>
  <c r="L206" i="5"/>
  <c r="L205" i="5"/>
  <c r="P204" i="5"/>
  <c r="N204" i="5"/>
  <c r="J203" i="5"/>
  <c r="J200" i="5"/>
  <c r="I199" i="5"/>
  <c r="P197" i="5"/>
  <c r="L197" i="5"/>
  <c r="O197" i="5" s="1"/>
  <c r="J196" i="5"/>
  <c r="U195" i="5"/>
  <c r="T195" i="5"/>
  <c r="N195" i="5"/>
  <c r="M195" i="5"/>
  <c r="L195" i="5"/>
  <c r="L193" i="5" s="1"/>
  <c r="O193" i="5" s="1"/>
  <c r="U194" i="5"/>
  <c r="T194" i="5"/>
  <c r="P194" i="5"/>
  <c r="O194" i="5"/>
  <c r="T193" i="5"/>
  <c r="S193" i="5"/>
  <c r="R193" i="5"/>
  <c r="U193" i="5" s="1"/>
  <c r="Q193" i="5"/>
  <c r="S192" i="5"/>
  <c r="R192" i="5"/>
  <c r="R190" i="5" s="1"/>
  <c r="Q192" i="5"/>
  <c r="Q190" i="5" s="1"/>
  <c r="N192" i="5"/>
  <c r="M192" i="5"/>
  <c r="L192" i="5"/>
  <c r="U191" i="5"/>
  <c r="T191" i="5"/>
  <c r="P191" i="5"/>
  <c r="O191" i="5"/>
  <c r="T188" i="5"/>
  <c r="S188" i="5"/>
  <c r="R188" i="5"/>
  <c r="U188" i="5" s="1"/>
  <c r="Q188" i="5"/>
  <c r="P188" i="5"/>
  <c r="N188" i="5"/>
  <c r="M188" i="5"/>
  <c r="L188" i="5"/>
  <c r="O188" i="5" s="1"/>
  <c r="K185" i="5"/>
  <c r="I184" i="5"/>
  <c r="U182" i="5"/>
  <c r="T182" i="5"/>
  <c r="N182" i="5"/>
  <c r="N180" i="5" s="1"/>
  <c r="M182" i="5"/>
  <c r="P182" i="5" s="1"/>
  <c r="L182" i="5"/>
  <c r="L180" i="5" s="1"/>
  <c r="O180" i="5" s="1"/>
  <c r="U181" i="5"/>
  <c r="T181" i="5"/>
  <c r="P181" i="5"/>
  <c r="O181" i="5"/>
  <c r="U180" i="5"/>
  <c r="S180" i="5"/>
  <c r="R180" i="5"/>
  <c r="Q180" i="5"/>
  <c r="T180" i="5" s="1"/>
  <c r="S179" i="5"/>
  <c r="S176" i="5" s="1"/>
  <c r="R179" i="5"/>
  <c r="Q179" i="5"/>
  <c r="N179" i="5"/>
  <c r="M179" i="5"/>
  <c r="M177" i="5" s="1"/>
  <c r="L179" i="5"/>
  <c r="L177" i="5" s="1"/>
  <c r="U178" i="5"/>
  <c r="T178" i="5"/>
  <c r="P178" i="5"/>
  <c r="O178" i="5"/>
  <c r="U175" i="5"/>
  <c r="S175" i="5"/>
  <c r="R175" i="5"/>
  <c r="Q175" i="5"/>
  <c r="T175" i="5" s="1"/>
  <c r="O175" i="5"/>
  <c r="N175" i="5"/>
  <c r="M175" i="5"/>
  <c r="L175" i="5"/>
  <c r="J173" i="5"/>
  <c r="I168" i="5"/>
  <c r="U166" i="5"/>
  <c r="T166" i="5"/>
  <c r="N166" i="5"/>
  <c r="N164" i="5" s="1"/>
  <c r="M166" i="5"/>
  <c r="L166" i="5"/>
  <c r="U165" i="5"/>
  <c r="T165" i="5"/>
  <c r="P165" i="5"/>
  <c r="O165" i="5"/>
  <c r="U164" i="5"/>
  <c r="S164" i="5"/>
  <c r="R164" i="5"/>
  <c r="Q164" i="5"/>
  <c r="T164" i="5" s="1"/>
  <c r="S163" i="5"/>
  <c r="S161" i="5" s="1"/>
  <c r="R163" i="5"/>
  <c r="R161" i="5" s="1"/>
  <c r="U161" i="5" s="1"/>
  <c r="N163" i="5"/>
  <c r="N161" i="5" s="1"/>
  <c r="M163" i="5"/>
  <c r="L163" i="5"/>
  <c r="U162" i="5"/>
  <c r="T162" i="5"/>
  <c r="P162" i="5"/>
  <c r="O162" i="5"/>
  <c r="U159" i="5"/>
  <c r="S159" i="5"/>
  <c r="R159" i="5"/>
  <c r="Q159" i="5"/>
  <c r="T159" i="5" s="1"/>
  <c r="N159" i="5"/>
  <c r="M159" i="5"/>
  <c r="P159" i="5" s="1"/>
  <c r="L159" i="5"/>
  <c r="J157" i="5"/>
  <c r="I155" i="5"/>
  <c r="K155" i="5" s="1"/>
  <c r="I154" i="5"/>
  <c r="K154" i="5" s="1"/>
  <c r="I153" i="5"/>
  <c r="I152" i="5"/>
  <c r="K152" i="5" s="1"/>
  <c r="I151" i="5"/>
  <c r="K151" i="5" s="1"/>
  <c r="U148" i="5"/>
  <c r="T148" i="5"/>
  <c r="N148" i="5"/>
  <c r="N146" i="5" s="1"/>
  <c r="M148" i="5"/>
  <c r="L148" i="5"/>
  <c r="L146" i="5" s="1"/>
  <c r="O146" i="5" s="1"/>
  <c r="U147" i="5"/>
  <c r="T147" i="5"/>
  <c r="P147" i="5"/>
  <c r="O147" i="5"/>
  <c r="U146" i="5"/>
  <c r="S146" i="5"/>
  <c r="R146" i="5"/>
  <c r="Q146" i="5"/>
  <c r="T146" i="5" s="1"/>
  <c r="S145" i="5"/>
  <c r="S143" i="5" s="1"/>
  <c r="R145" i="5"/>
  <c r="R142" i="5" s="1"/>
  <c r="Q145" i="5"/>
  <c r="T145" i="5" s="1"/>
  <c r="N145" i="5"/>
  <c r="N143" i="5" s="1"/>
  <c r="M145" i="5"/>
  <c r="L145" i="5"/>
  <c r="L143" i="5" s="1"/>
  <c r="U144" i="5"/>
  <c r="T144" i="5"/>
  <c r="P144" i="5"/>
  <c r="O144" i="5"/>
  <c r="S141" i="5"/>
  <c r="R141" i="5"/>
  <c r="U141" i="5" s="1"/>
  <c r="Q141" i="5"/>
  <c r="T141" i="5" s="1"/>
  <c r="N141" i="5"/>
  <c r="M141" i="5"/>
  <c r="P141" i="5" s="1"/>
  <c r="L141" i="5"/>
  <c r="O141" i="5" s="1"/>
  <c r="J139" i="5"/>
  <c r="J138" i="5"/>
  <c r="J137" i="5"/>
  <c r="I131" i="5"/>
  <c r="K131" i="5" s="1"/>
  <c r="I130" i="5"/>
  <c r="K130" i="5" s="1"/>
  <c r="I129" i="5"/>
  <c r="K129" i="5" s="1"/>
  <c r="I128" i="5"/>
  <c r="U126" i="5"/>
  <c r="T126" i="5"/>
  <c r="N126" i="5"/>
  <c r="N124" i="5" s="1"/>
  <c r="M126" i="5"/>
  <c r="P126" i="5" s="1"/>
  <c r="L126" i="5"/>
  <c r="U125" i="5"/>
  <c r="T125" i="5"/>
  <c r="P125" i="5"/>
  <c r="O125" i="5"/>
  <c r="S124" i="5"/>
  <c r="R124" i="5"/>
  <c r="U124" i="5" s="1"/>
  <c r="Q124" i="5"/>
  <c r="T124" i="5" s="1"/>
  <c r="S123" i="5"/>
  <c r="R123" i="5"/>
  <c r="R120" i="5" s="1"/>
  <c r="Q123" i="5"/>
  <c r="Q121" i="5" s="1"/>
  <c r="N123" i="5"/>
  <c r="N121" i="5" s="1"/>
  <c r="M123" i="5"/>
  <c r="P123" i="5" s="1"/>
  <c r="L123" i="5"/>
  <c r="U122" i="5"/>
  <c r="T122" i="5"/>
  <c r="P122" i="5"/>
  <c r="O122" i="5"/>
  <c r="S119" i="5"/>
  <c r="R119" i="5"/>
  <c r="U119" i="5" s="1"/>
  <c r="Q119" i="5"/>
  <c r="T119" i="5" s="1"/>
  <c r="N119" i="5"/>
  <c r="M119" i="5"/>
  <c r="P119" i="5" s="1"/>
  <c r="L119" i="5"/>
  <c r="O119" i="5" s="1"/>
  <c r="J117" i="5"/>
  <c r="I115" i="5"/>
  <c r="K115" i="5" s="1"/>
  <c r="I110" i="5"/>
  <c r="I109" i="5"/>
  <c r="U103" i="5"/>
  <c r="T103" i="5"/>
  <c r="N103" i="5"/>
  <c r="N101" i="5" s="1"/>
  <c r="M103" i="5"/>
  <c r="P103" i="5" s="1"/>
  <c r="L103" i="5"/>
  <c r="U102" i="5"/>
  <c r="T102" i="5"/>
  <c r="P102" i="5"/>
  <c r="O102" i="5"/>
  <c r="U101" i="5"/>
  <c r="S101" i="5"/>
  <c r="R101" i="5"/>
  <c r="Q101" i="5"/>
  <c r="T101" i="5" s="1"/>
  <c r="S100" i="5"/>
  <c r="R100" i="5"/>
  <c r="Q98" i="5"/>
  <c r="T98" i="5" s="1"/>
  <c r="N100" i="5"/>
  <c r="N98" i="5" s="1"/>
  <c r="M100" i="5"/>
  <c r="M98" i="5" s="1"/>
  <c r="P98" i="5" s="1"/>
  <c r="L100" i="5"/>
  <c r="U99" i="5"/>
  <c r="T99" i="5"/>
  <c r="P99" i="5"/>
  <c r="O99" i="5"/>
  <c r="S96" i="5"/>
  <c r="R96" i="5"/>
  <c r="Q96" i="5"/>
  <c r="T96" i="5" s="1"/>
  <c r="N96" i="5"/>
  <c r="M96" i="5"/>
  <c r="L96" i="5"/>
  <c r="O96" i="5" s="1"/>
  <c r="J94" i="5"/>
  <c r="J93" i="5"/>
  <c r="I91" i="5"/>
  <c r="K91" i="5" s="1"/>
  <c r="I90" i="5"/>
  <c r="K90" i="5" s="1"/>
  <c r="I89" i="5"/>
  <c r="I88" i="5"/>
  <c r="I87" i="5"/>
  <c r="K87" i="5" s="1"/>
  <c r="I86" i="5"/>
  <c r="K86" i="5" s="1"/>
  <c r="I85" i="5"/>
  <c r="K85" i="5" s="1"/>
  <c r="J84" i="5"/>
  <c r="J72" i="5" s="1"/>
  <c r="J83" i="5"/>
  <c r="J71" i="5" s="1"/>
  <c r="U81" i="5"/>
  <c r="T81" i="5"/>
  <c r="N81" i="5"/>
  <c r="N79" i="5" s="1"/>
  <c r="M81" i="5"/>
  <c r="L81" i="5"/>
  <c r="O81" i="5" s="1"/>
  <c r="U80" i="5"/>
  <c r="T80" i="5"/>
  <c r="P80" i="5"/>
  <c r="O80" i="5"/>
  <c r="S79" i="5"/>
  <c r="R79" i="5"/>
  <c r="U79" i="5" s="1"/>
  <c r="Q79" i="5"/>
  <c r="T79" i="5" s="1"/>
  <c r="S78" i="5"/>
  <c r="S75" i="5" s="1"/>
  <c r="R78" i="5"/>
  <c r="Q76" i="5"/>
  <c r="T76" i="5" s="1"/>
  <c r="N78" i="5"/>
  <c r="N76" i="5" s="1"/>
  <c r="M78" i="5"/>
  <c r="P78" i="5" s="1"/>
  <c r="L78" i="5"/>
  <c r="O78" i="5" s="1"/>
  <c r="U77" i="5"/>
  <c r="T77" i="5"/>
  <c r="P77" i="5"/>
  <c r="O77" i="5"/>
  <c r="U74" i="5"/>
  <c r="S74" i="5"/>
  <c r="R74" i="5"/>
  <c r="Q74" i="5"/>
  <c r="N74" i="5"/>
  <c r="M74" i="5"/>
  <c r="P74" i="5" s="1"/>
  <c r="L74" i="5"/>
  <c r="O74" i="5" s="1"/>
  <c r="U68" i="5"/>
  <c r="T68" i="5"/>
  <c r="N68" i="5"/>
  <c r="N66" i="5" s="1"/>
  <c r="M68" i="5"/>
  <c r="P68" i="5" s="1"/>
  <c r="L68" i="5"/>
  <c r="O68" i="5" s="1"/>
  <c r="U67" i="5"/>
  <c r="T67" i="5"/>
  <c r="P67" i="5"/>
  <c r="O67" i="5"/>
  <c r="S66" i="5"/>
  <c r="R66" i="5"/>
  <c r="U66" i="5" s="1"/>
  <c r="Q66" i="5"/>
  <c r="T66" i="5" s="1"/>
  <c r="U65" i="5"/>
  <c r="T65" i="5"/>
  <c r="N65" i="5"/>
  <c r="N63" i="5" s="1"/>
  <c r="M65" i="5"/>
  <c r="L65" i="5"/>
  <c r="L63" i="5" s="1"/>
  <c r="U64" i="5"/>
  <c r="T64" i="5"/>
  <c r="P64" i="5"/>
  <c r="O64" i="5"/>
  <c r="U63" i="5"/>
  <c r="T63" i="5"/>
  <c r="S63" i="5"/>
  <c r="R63" i="5"/>
  <c r="Q63" i="5"/>
  <c r="S62" i="5"/>
  <c r="S60" i="5" s="1"/>
  <c r="R62" i="5"/>
  <c r="U62" i="5" s="1"/>
  <c r="Q62" i="5"/>
  <c r="T62" i="5" s="1"/>
  <c r="U61" i="5"/>
  <c r="T61" i="5"/>
  <c r="S61" i="5"/>
  <c r="R61" i="5"/>
  <c r="Q61" i="5"/>
  <c r="P61" i="5"/>
  <c r="O61" i="5"/>
  <c r="N61" i="5"/>
  <c r="M61" i="5"/>
  <c r="L61" i="5"/>
  <c r="R60" i="5"/>
  <c r="U60" i="5" s="1"/>
  <c r="U53" i="5"/>
  <c r="T53" i="5"/>
  <c r="N53" i="5"/>
  <c r="M53" i="5"/>
  <c r="P53" i="5" s="1"/>
  <c r="L53" i="5"/>
  <c r="O53" i="5" s="1"/>
  <c r="U52" i="5"/>
  <c r="T52" i="5"/>
  <c r="P52" i="5"/>
  <c r="O52" i="5"/>
  <c r="S51" i="5"/>
  <c r="R51" i="5"/>
  <c r="U51" i="5" s="1"/>
  <c r="Q51" i="5"/>
  <c r="T51" i="5" s="1"/>
  <c r="U50" i="5"/>
  <c r="T50" i="5"/>
  <c r="N50" i="5"/>
  <c r="M50" i="5"/>
  <c r="M48" i="5" s="1"/>
  <c r="L50" i="5"/>
  <c r="L48" i="5" s="1"/>
  <c r="U49" i="5"/>
  <c r="T49" i="5"/>
  <c r="P49" i="5"/>
  <c r="O49" i="5"/>
  <c r="U48" i="5"/>
  <c r="T48" i="5"/>
  <c r="S48" i="5"/>
  <c r="R48" i="5"/>
  <c r="Q48" i="5"/>
  <c r="S47" i="5"/>
  <c r="S45" i="5" s="1"/>
  <c r="R47" i="5"/>
  <c r="U47" i="5" s="1"/>
  <c r="Q47" i="5"/>
  <c r="T47" i="5" s="1"/>
  <c r="U46" i="5"/>
  <c r="T46" i="5"/>
  <c r="S46" i="5"/>
  <c r="R46" i="5"/>
  <c r="Q46" i="5"/>
  <c r="P46" i="5"/>
  <c r="O46" i="5"/>
  <c r="N46" i="5"/>
  <c r="M46" i="5"/>
  <c r="L46" i="5"/>
  <c r="R45" i="5"/>
  <c r="U45" i="5" s="1"/>
  <c r="S27" i="5"/>
  <c r="R27" i="5"/>
  <c r="U27" i="5" s="1"/>
  <c r="Q27" i="5"/>
  <c r="T27" i="5" s="1"/>
  <c r="S26" i="5"/>
  <c r="R26" i="5"/>
  <c r="Q26" i="5"/>
  <c r="T26" i="5" s="1"/>
  <c r="N26" i="5"/>
  <c r="M26" i="5"/>
  <c r="P26" i="5" s="1"/>
  <c r="L26" i="5"/>
  <c r="O26" i="5" s="1"/>
  <c r="S23" i="5"/>
  <c r="R23" i="5"/>
  <c r="U23" i="5" s="1"/>
  <c r="Q23" i="5"/>
  <c r="T23" i="5" s="1"/>
  <c r="N23" i="5"/>
  <c r="M23" i="5"/>
  <c r="P23" i="5" s="1"/>
  <c r="L23" i="5"/>
  <c r="O23" i="5" s="1"/>
  <c r="A788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H777" i="4"/>
  <c r="I776" i="4"/>
  <c r="I775" i="4"/>
  <c r="I774" i="4"/>
  <c r="I772" i="4"/>
  <c r="K772" i="4" s="1"/>
  <c r="I770" i="4"/>
  <c r="K770" i="4" s="1"/>
  <c r="U768" i="4"/>
  <c r="T768" i="4"/>
  <c r="P768" i="4"/>
  <c r="O768" i="4"/>
  <c r="U767" i="4"/>
  <c r="T767" i="4"/>
  <c r="P767" i="4"/>
  <c r="O767" i="4"/>
  <c r="S766" i="4"/>
  <c r="R766" i="4"/>
  <c r="U766" i="4" s="1"/>
  <c r="Q766" i="4"/>
  <c r="T766" i="4" s="1"/>
  <c r="P766" i="4"/>
  <c r="N766" i="4"/>
  <c r="M766" i="4"/>
  <c r="L766" i="4"/>
  <c r="O766" i="4" s="1"/>
  <c r="S765" i="4"/>
  <c r="S762" i="4" s="1"/>
  <c r="S760" i="4" s="1"/>
  <c r="R765" i="4"/>
  <c r="R763" i="4" s="1"/>
  <c r="Q765" i="4"/>
  <c r="P765" i="4"/>
  <c r="O765" i="4"/>
  <c r="U764" i="4"/>
  <c r="T764" i="4"/>
  <c r="P764" i="4"/>
  <c r="O764" i="4"/>
  <c r="N763" i="4"/>
  <c r="M763" i="4"/>
  <c r="P763" i="4" s="1"/>
  <c r="L763" i="4"/>
  <c r="O763" i="4" s="1"/>
  <c r="N762" i="4"/>
  <c r="M762" i="4"/>
  <c r="P762" i="4" s="1"/>
  <c r="L762" i="4"/>
  <c r="L760" i="4" s="1"/>
  <c r="O760" i="4" s="1"/>
  <c r="U761" i="4"/>
  <c r="S761" i="4"/>
  <c r="R761" i="4"/>
  <c r="Q761" i="4"/>
  <c r="T761" i="4" s="1"/>
  <c r="P761" i="4"/>
  <c r="O761" i="4"/>
  <c r="N761" i="4"/>
  <c r="M761" i="4"/>
  <c r="L761" i="4"/>
  <c r="N760" i="4"/>
  <c r="M760" i="4"/>
  <c r="P760" i="4" s="1"/>
  <c r="J759" i="4"/>
  <c r="J758" i="4"/>
  <c r="I756" i="4"/>
  <c r="K756" i="4" s="1"/>
  <c r="I753" i="4"/>
  <c r="K753" i="4" s="1"/>
  <c r="I750" i="4"/>
  <c r="K750" i="4" s="1"/>
  <c r="I747" i="4"/>
  <c r="K747" i="4" s="1"/>
  <c r="I745" i="4"/>
  <c r="K745" i="4" s="1"/>
  <c r="I743" i="4"/>
  <c r="K743" i="4" s="1"/>
  <c r="I741" i="4"/>
  <c r="K741" i="4" s="1"/>
  <c r="U737" i="4"/>
  <c r="T737" i="4"/>
  <c r="P737" i="4"/>
  <c r="O737" i="4"/>
  <c r="U736" i="4"/>
  <c r="T736" i="4"/>
  <c r="P736" i="4"/>
  <c r="O736" i="4"/>
  <c r="U735" i="4"/>
  <c r="S735" i="4"/>
  <c r="R735" i="4"/>
  <c r="Q735" i="4"/>
  <c r="T735" i="4" s="1"/>
  <c r="P735" i="4"/>
  <c r="O735" i="4"/>
  <c r="N735" i="4"/>
  <c r="M735" i="4"/>
  <c r="L735" i="4"/>
  <c r="S734" i="4"/>
  <c r="R734" i="4"/>
  <c r="Q734" i="4"/>
  <c r="Q732" i="4" s="1"/>
  <c r="P734" i="4"/>
  <c r="O734" i="4"/>
  <c r="U733" i="4"/>
  <c r="T733" i="4"/>
  <c r="P733" i="4"/>
  <c r="O733" i="4"/>
  <c r="N732" i="4"/>
  <c r="M732" i="4"/>
  <c r="P732" i="4" s="1"/>
  <c r="L732" i="4"/>
  <c r="O732" i="4" s="1"/>
  <c r="P731" i="4"/>
  <c r="N731" i="4"/>
  <c r="M731" i="4"/>
  <c r="L731" i="4"/>
  <c r="O731" i="4" s="1"/>
  <c r="U730" i="4"/>
  <c r="T730" i="4"/>
  <c r="S730" i="4"/>
  <c r="R730" i="4"/>
  <c r="Q730" i="4"/>
  <c r="O730" i="4"/>
  <c r="N730" i="4"/>
  <c r="N729" i="4" s="1"/>
  <c r="M730" i="4"/>
  <c r="P730" i="4" s="1"/>
  <c r="L730" i="4"/>
  <c r="M729" i="4"/>
  <c r="P729" i="4" s="1"/>
  <c r="L729" i="4"/>
  <c r="O729" i="4" s="1"/>
  <c r="J728" i="4"/>
  <c r="I728" i="4"/>
  <c r="K728" i="4" s="1"/>
  <c r="J727" i="4"/>
  <c r="I727" i="4"/>
  <c r="U723" i="4"/>
  <c r="T723" i="4"/>
  <c r="P723" i="4"/>
  <c r="O723" i="4"/>
  <c r="U722" i="4"/>
  <c r="T722" i="4"/>
  <c r="P722" i="4"/>
  <c r="O722" i="4"/>
  <c r="S721" i="4"/>
  <c r="R721" i="4"/>
  <c r="U721" i="4" s="1"/>
  <c r="Q721" i="4"/>
  <c r="T721" i="4" s="1"/>
  <c r="N721" i="4"/>
  <c r="M721" i="4"/>
  <c r="P721" i="4" s="1"/>
  <c r="L721" i="4"/>
  <c r="O721" i="4" s="1"/>
  <c r="U720" i="4"/>
  <c r="T720" i="4"/>
  <c r="P720" i="4"/>
  <c r="O720" i="4"/>
  <c r="U719" i="4"/>
  <c r="T719" i="4"/>
  <c r="P719" i="4"/>
  <c r="O719" i="4"/>
  <c r="S718" i="4"/>
  <c r="R718" i="4"/>
  <c r="U718" i="4" s="1"/>
  <c r="Q718" i="4"/>
  <c r="T718" i="4" s="1"/>
  <c r="N718" i="4"/>
  <c r="M718" i="4"/>
  <c r="P718" i="4" s="1"/>
  <c r="L718" i="4"/>
  <c r="O718" i="4" s="1"/>
  <c r="S717" i="4"/>
  <c r="R717" i="4"/>
  <c r="U717" i="4" s="1"/>
  <c r="Q717" i="4"/>
  <c r="P717" i="4"/>
  <c r="N717" i="4"/>
  <c r="M717" i="4"/>
  <c r="L717" i="4"/>
  <c r="O717" i="4" s="1"/>
  <c r="U716" i="4"/>
  <c r="T716" i="4"/>
  <c r="S716" i="4"/>
  <c r="R716" i="4"/>
  <c r="Q716" i="4"/>
  <c r="O716" i="4"/>
  <c r="N716" i="4"/>
  <c r="N715" i="4" s="1"/>
  <c r="M716" i="4"/>
  <c r="P716" i="4" s="1"/>
  <c r="L716" i="4"/>
  <c r="S715" i="4"/>
  <c r="R715" i="4"/>
  <c r="U715" i="4" s="1"/>
  <c r="M715" i="4"/>
  <c r="P715" i="4" s="1"/>
  <c r="L715" i="4"/>
  <c r="O715" i="4" s="1"/>
  <c r="K713" i="4"/>
  <c r="J713" i="4"/>
  <c r="K711" i="4"/>
  <c r="J711" i="4"/>
  <c r="J710" i="4"/>
  <c r="I710" i="4"/>
  <c r="K709" i="4"/>
  <c r="J709" i="4"/>
  <c r="J708" i="4"/>
  <c r="J690" i="4" s="1"/>
  <c r="I708" i="4"/>
  <c r="K707" i="4"/>
  <c r="J707" i="4"/>
  <c r="J706" i="4"/>
  <c r="I706" i="4"/>
  <c r="K705" i="4"/>
  <c r="J705" i="4"/>
  <c r="J704" i="4"/>
  <c r="I704" i="4"/>
  <c r="K703" i="4"/>
  <c r="I701" i="4"/>
  <c r="K701" i="4" s="1"/>
  <c r="U699" i="4"/>
  <c r="T699" i="4"/>
  <c r="P699" i="4"/>
  <c r="O699" i="4"/>
  <c r="U698" i="4"/>
  <c r="T698" i="4"/>
  <c r="P698" i="4"/>
  <c r="O698" i="4"/>
  <c r="S697" i="4"/>
  <c r="R697" i="4"/>
  <c r="U697" i="4" s="1"/>
  <c r="Q697" i="4"/>
  <c r="T697" i="4" s="1"/>
  <c r="N697" i="4"/>
  <c r="M697" i="4"/>
  <c r="P697" i="4" s="1"/>
  <c r="L697" i="4"/>
  <c r="O697" i="4" s="1"/>
  <c r="S696" i="4"/>
  <c r="R696" i="4"/>
  <c r="R693" i="4" s="1"/>
  <c r="Q696" i="4"/>
  <c r="Q694" i="4" s="1"/>
  <c r="P696" i="4"/>
  <c r="O696" i="4"/>
  <c r="U695" i="4"/>
  <c r="T695" i="4"/>
  <c r="P695" i="4"/>
  <c r="O695" i="4"/>
  <c r="O694" i="4"/>
  <c r="N694" i="4"/>
  <c r="M694" i="4"/>
  <c r="P694" i="4" s="1"/>
  <c r="L694" i="4"/>
  <c r="N693" i="4"/>
  <c r="M693" i="4"/>
  <c r="L693" i="4"/>
  <c r="S692" i="4"/>
  <c r="R692" i="4"/>
  <c r="U692" i="4" s="1"/>
  <c r="Q692" i="4"/>
  <c r="P692" i="4"/>
  <c r="O692" i="4"/>
  <c r="N692" i="4"/>
  <c r="M692" i="4"/>
  <c r="L692" i="4"/>
  <c r="N691" i="4"/>
  <c r="J683" i="4"/>
  <c r="I683" i="4"/>
  <c r="K683" i="4" s="1"/>
  <c r="J682" i="4"/>
  <c r="I682" i="4"/>
  <c r="K682" i="4" s="1"/>
  <c r="J681" i="4"/>
  <c r="J680" i="4"/>
  <c r="I680" i="4"/>
  <c r="K680" i="4" s="1"/>
  <c r="J679" i="4"/>
  <c r="I679" i="4"/>
  <c r="K679" i="4" s="1"/>
  <c r="J678" i="4"/>
  <c r="J677" i="4"/>
  <c r="I677" i="4"/>
  <c r="K677" i="4" s="1"/>
  <c r="I676" i="4"/>
  <c r="K676" i="4" s="1"/>
  <c r="I675" i="4"/>
  <c r="K675" i="4" s="1"/>
  <c r="J674" i="4"/>
  <c r="I674" i="4"/>
  <c r="J673" i="4"/>
  <c r="J672" i="4"/>
  <c r="J662" i="4"/>
  <c r="I662" i="4"/>
  <c r="K662" i="4" s="1"/>
  <c r="I661" i="4"/>
  <c r="I658" i="4"/>
  <c r="J655" i="4"/>
  <c r="I655" i="4"/>
  <c r="K655" i="4" s="1"/>
  <c r="J654" i="4"/>
  <c r="I654" i="4"/>
  <c r="J653" i="4"/>
  <c r="I653" i="4"/>
  <c r="K653" i="4" s="1"/>
  <c r="U651" i="4"/>
  <c r="T651" i="4"/>
  <c r="P651" i="4"/>
  <c r="O651" i="4"/>
  <c r="U650" i="4"/>
  <c r="T650" i="4"/>
  <c r="P650" i="4"/>
  <c r="O650" i="4"/>
  <c r="S649" i="4"/>
  <c r="R649" i="4"/>
  <c r="U649" i="4" s="1"/>
  <c r="Q649" i="4"/>
  <c r="T649" i="4" s="1"/>
  <c r="P649" i="4"/>
  <c r="N649" i="4"/>
  <c r="M649" i="4"/>
  <c r="L649" i="4"/>
  <c r="O649" i="4" s="1"/>
  <c r="S648" i="4"/>
  <c r="S646" i="4" s="1"/>
  <c r="R648" i="4"/>
  <c r="R646" i="4" s="1"/>
  <c r="Q648" i="4"/>
  <c r="Q646" i="4" s="1"/>
  <c r="P648" i="4"/>
  <c r="O648" i="4"/>
  <c r="U647" i="4"/>
  <c r="T647" i="4"/>
  <c r="P647" i="4"/>
  <c r="O647" i="4"/>
  <c r="O646" i="4"/>
  <c r="N646" i="4"/>
  <c r="M646" i="4"/>
  <c r="P646" i="4" s="1"/>
  <c r="L646" i="4"/>
  <c r="N645" i="4"/>
  <c r="M645" i="4"/>
  <c r="L645" i="4"/>
  <c r="U644" i="4"/>
  <c r="S644" i="4"/>
  <c r="R644" i="4"/>
  <c r="Q644" i="4"/>
  <c r="P644" i="4"/>
  <c r="O644" i="4"/>
  <c r="N644" i="4"/>
  <c r="M644" i="4"/>
  <c r="L644" i="4"/>
  <c r="N643" i="4"/>
  <c r="J637" i="4"/>
  <c r="J636" i="4"/>
  <c r="I636" i="4"/>
  <c r="K636" i="4" s="1"/>
  <c r="J633" i="4"/>
  <c r="I629" i="4"/>
  <c r="K629" i="4" s="1"/>
  <c r="I628" i="4"/>
  <c r="K628" i="4" s="1"/>
  <c r="J627" i="4"/>
  <c r="I627" i="4"/>
  <c r="K630" i="4" s="1"/>
  <c r="U625" i="4"/>
  <c r="T625" i="4"/>
  <c r="P625" i="4"/>
  <c r="O625" i="4"/>
  <c r="U624" i="4"/>
  <c r="T624" i="4"/>
  <c r="P624" i="4"/>
  <c r="O624" i="4"/>
  <c r="S623" i="4"/>
  <c r="R623" i="4"/>
  <c r="U623" i="4" s="1"/>
  <c r="Q623" i="4"/>
  <c r="T623" i="4" s="1"/>
  <c r="N623" i="4"/>
  <c r="M623" i="4"/>
  <c r="P623" i="4" s="1"/>
  <c r="L623" i="4"/>
  <c r="O623" i="4" s="1"/>
  <c r="S622" i="4"/>
  <c r="R622" i="4"/>
  <c r="Q622" i="4"/>
  <c r="P622" i="4"/>
  <c r="O622" i="4"/>
  <c r="U621" i="4"/>
  <c r="T621" i="4"/>
  <c r="P621" i="4"/>
  <c r="O621" i="4"/>
  <c r="P620" i="4"/>
  <c r="O620" i="4"/>
  <c r="N620" i="4"/>
  <c r="M620" i="4"/>
  <c r="L620" i="4"/>
  <c r="N619" i="4"/>
  <c r="M619" i="4"/>
  <c r="L619" i="4"/>
  <c r="O619" i="4" s="1"/>
  <c r="S618" i="4"/>
  <c r="R618" i="4"/>
  <c r="Q618" i="4"/>
  <c r="P618" i="4"/>
  <c r="N618" i="4"/>
  <c r="M618" i="4"/>
  <c r="L618" i="4"/>
  <c r="N617" i="4"/>
  <c r="J616" i="4"/>
  <c r="U608" i="4"/>
  <c r="T608" i="4"/>
  <c r="P608" i="4"/>
  <c r="O608" i="4"/>
  <c r="U607" i="4"/>
  <c r="T607" i="4"/>
  <c r="P607" i="4"/>
  <c r="O607" i="4"/>
  <c r="S606" i="4"/>
  <c r="R606" i="4"/>
  <c r="U606" i="4" s="1"/>
  <c r="Q606" i="4"/>
  <c r="T606" i="4" s="1"/>
  <c r="N606" i="4"/>
  <c r="M606" i="4"/>
  <c r="P606" i="4" s="1"/>
  <c r="L606" i="4"/>
  <c r="O606" i="4" s="1"/>
  <c r="U605" i="4"/>
  <c r="T605" i="4"/>
  <c r="P605" i="4"/>
  <c r="O605" i="4"/>
  <c r="U604" i="4"/>
  <c r="T604" i="4"/>
  <c r="P604" i="4"/>
  <c r="O604" i="4"/>
  <c r="S603" i="4"/>
  <c r="R603" i="4"/>
  <c r="U603" i="4" s="1"/>
  <c r="Q603" i="4"/>
  <c r="T603" i="4" s="1"/>
  <c r="N603" i="4"/>
  <c r="M603" i="4"/>
  <c r="P603" i="4" s="1"/>
  <c r="L603" i="4"/>
  <c r="O603" i="4" s="1"/>
  <c r="U602" i="4"/>
  <c r="S602" i="4"/>
  <c r="R602" i="4"/>
  <c r="Q602" i="4"/>
  <c r="T602" i="4" s="1"/>
  <c r="P602" i="4"/>
  <c r="O602" i="4"/>
  <c r="N602" i="4"/>
  <c r="M602" i="4"/>
  <c r="L602" i="4"/>
  <c r="U601" i="4"/>
  <c r="T601" i="4"/>
  <c r="S601" i="4"/>
  <c r="R601" i="4"/>
  <c r="Q601" i="4"/>
  <c r="O601" i="4"/>
  <c r="N601" i="4"/>
  <c r="N600" i="4" s="1"/>
  <c r="M601" i="4"/>
  <c r="P601" i="4" s="1"/>
  <c r="L601" i="4"/>
  <c r="S600" i="4"/>
  <c r="R600" i="4"/>
  <c r="U600" i="4" s="1"/>
  <c r="M600" i="4"/>
  <c r="P600" i="4" s="1"/>
  <c r="L600" i="4"/>
  <c r="O600" i="4" s="1"/>
  <c r="U585" i="4"/>
  <c r="T585" i="4"/>
  <c r="P585" i="4"/>
  <c r="O585" i="4"/>
  <c r="U584" i="4"/>
  <c r="T584" i="4"/>
  <c r="P584" i="4"/>
  <c r="O584" i="4"/>
  <c r="S583" i="4"/>
  <c r="R583" i="4"/>
  <c r="U583" i="4" s="1"/>
  <c r="Q583" i="4"/>
  <c r="T583" i="4" s="1"/>
  <c r="N583" i="4"/>
  <c r="M583" i="4"/>
  <c r="P583" i="4" s="1"/>
  <c r="L583" i="4"/>
  <c r="O583" i="4" s="1"/>
  <c r="U582" i="4"/>
  <c r="T582" i="4"/>
  <c r="P582" i="4"/>
  <c r="O582" i="4"/>
  <c r="U581" i="4"/>
  <c r="T581" i="4"/>
  <c r="P581" i="4"/>
  <c r="O581" i="4"/>
  <c r="S580" i="4"/>
  <c r="R580" i="4"/>
  <c r="U580" i="4" s="1"/>
  <c r="Q580" i="4"/>
  <c r="T580" i="4" s="1"/>
  <c r="N580" i="4"/>
  <c r="M580" i="4"/>
  <c r="P580" i="4" s="1"/>
  <c r="L580" i="4"/>
  <c r="O580" i="4" s="1"/>
  <c r="U579" i="4"/>
  <c r="S579" i="4"/>
  <c r="R579" i="4"/>
  <c r="Q579" i="4"/>
  <c r="P579" i="4"/>
  <c r="O579" i="4"/>
  <c r="N579" i="4"/>
  <c r="M579" i="4"/>
  <c r="L579" i="4"/>
  <c r="U578" i="4"/>
  <c r="T578" i="4"/>
  <c r="S578" i="4"/>
  <c r="R578" i="4"/>
  <c r="Q578" i="4"/>
  <c r="O578" i="4"/>
  <c r="N578" i="4"/>
  <c r="N577" i="4" s="1"/>
  <c r="M578" i="4"/>
  <c r="P578" i="4" s="1"/>
  <c r="L578" i="4"/>
  <c r="S577" i="4"/>
  <c r="R577" i="4"/>
  <c r="U577" i="4" s="1"/>
  <c r="M577" i="4"/>
  <c r="P577" i="4" s="1"/>
  <c r="L577" i="4"/>
  <c r="O577" i="4" s="1"/>
  <c r="K576" i="4"/>
  <c r="J576" i="4"/>
  <c r="I576" i="4"/>
  <c r="U564" i="4"/>
  <c r="T564" i="4"/>
  <c r="P564" i="4"/>
  <c r="O564" i="4"/>
  <c r="U563" i="4"/>
  <c r="T563" i="4"/>
  <c r="P563" i="4"/>
  <c r="O563" i="4"/>
  <c r="U562" i="4"/>
  <c r="T562" i="4"/>
  <c r="S562" i="4"/>
  <c r="R562" i="4"/>
  <c r="Q562" i="4"/>
  <c r="P562" i="4"/>
  <c r="O562" i="4"/>
  <c r="N562" i="4"/>
  <c r="M562" i="4"/>
  <c r="L562" i="4"/>
  <c r="U561" i="4"/>
  <c r="T561" i="4"/>
  <c r="P561" i="4"/>
  <c r="O561" i="4"/>
  <c r="U560" i="4"/>
  <c r="T560" i="4"/>
  <c r="P560" i="4"/>
  <c r="O560" i="4"/>
  <c r="U559" i="4"/>
  <c r="T559" i="4"/>
  <c r="S559" i="4"/>
  <c r="R559" i="4"/>
  <c r="Q559" i="4"/>
  <c r="P559" i="4"/>
  <c r="O559" i="4"/>
  <c r="N559" i="4"/>
  <c r="M559" i="4"/>
  <c r="L559" i="4"/>
  <c r="T558" i="4"/>
  <c r="S558" i="4"/>
  <c r="S556" i="4" s="1"/>
  <c r="R558" i="4"/>
  <c r="U558" i="4" s="1"/>
  <c r="Q558" i="4"/>
  <c r="N558" i="4"/>
  <c r="M558" i="4"/>
  <c r="L558" i="4"/>
  <c r="O558" i="4" s="1"/>
  <c r="S557" i="4"/>
  <c r="R557" i="4"/>
  <c r="Q557" i="4"/>
  <c r="P557" i="4"/>
  <c r="N557" i="4"/>
  <c r="M557" i="4"/>
  <c r="L557" i="4"/>
  <c r="N556" i="4"/>
  <c r="J555" i="4"/>
  <c r="I555" i="4"/>
  <c r="K555" i="4" s="1"/>
  <c r="U543" i="4"/>
  <c r="T543" i="4"/>
  <c r="P543" i="4"/>
  <c r="O543" i="4"/>
  <c r="U542" i="4"/>
  <c r="T542" i="4"/>
  <c r="P542" i="4"/>
  <c r="O542" i="4"/>
  <c r="S541" i="4"/>
  <c r="R541" i="4"/>
  <c r="U541" i="4" s="1"/>
  <c r="Q541" i="4"/>
  <c r="T541" i="4" s="1"/>
  <c r="N541" i="4"/>
  <c r="M541" i="4"/>
  <c r="P541" i="4" s="1"/>
  <c r="L541" i="4"/>
  <c r="O541" i="4" s="1"/>
  <c r="U540" i="4"/>
  <c r="T540" i="4"/>
  <c r="P540" i="4"/>
  <c r="O540" i="4"/>
  <c r="U539" i="4"/>
  <c r="T539" i="4"/>
  <c r="P539" i="4"/>
  <c r="O539" i="4"/>
  <c r="S538" i="4"/>
  <c r="R538" i="4"/>
  <c r="U538" i="4" s="1"/>
  <c r="Q538" i="4"/>
  <c r="T538" i="4" s="1"/>
  <c r="N538" i="4"/>
  <c r="M538" i="4"/>
  <c r="P538" i="4" s="1"/>
  <c r="L538" i="4"/>
  <c r="O538" i="4" s="1"/>
  <c r="U537" i="4"/>
  <c r="S537" i="4"/>
  <c r="R537" i="4"/>
  <c r="Q537" i="4"/>
  <c r="T537" i="4" s="1"/>
  <c r="P537" i="4"/>
  <c r="O537" i="4"/>
  <c r="N537" i="4"/>
  <c r="M537" i="4"/>
  <c r="L537" i="4"/>
  <c r="U536" i="4"/>
  <c r="T536" i="4"/>
  <c r="S536" i="4"/>
  <c r="R536" i="4"/>
  <c r="Q536" i="4"/>
  <c r="O536" i="4"/>
  <c r="N536" i="4"/>
  <c r="N535" i="4" s="1"/>
  <c r="M536" i="4"/>
  <c r="P536" i="4" s="1"/>
  <c r="L536" i="4"/>
  <c r="S535" i="4"/>
  <c r="R535" i="4"/>
  <c r="U535" i="4" s="1"/>
  <c r="M535" i="4"/>
  <c r="P535" i="4" s="1"/>
  <c r="L535" i="4"/>
  <c r="O535" i="4" s="1"/>
  <c r="K534" i="4"/>
  <c r="J534" i="4"/>
  <c r="I534" i="4"/>
  <c r="K525" i="4"/>
  <c r="K524" i="4"/>
  <c r="U522" i="4"/>
  <c r="T522" i="4"/>
  <c r="N522" i="4"/>
  <c r="N520" i="4" s="1"/>
  <c r="M522" i="4"/>
  <c r="L522" i="4"/>
  <c r="U521" i="4"/>
  <c r="T521" i="4"/>
  <c r="P521" i="4"/>
  <c r="O521" i="4"/>
  <c r="U520" i="4"/>
  <c r="T520" i="4"/>
  <c r="S520" i="4"/>
  <c r="R520" i="4"/>
  <c r="Q520" i="4"/>
  <c r="U519" i="4"/>
  <c r="T519" i="4"/>
  <c r="N519" i="4"/>
  <c r="M519" i="4"/>
  <c r="M517" i="4" s="1"/>
  <c r="P517" i="4" s="1"/>
  <c r="L519" i="4"/>
  <c r="O519" i="4" s="1"/>
  <c r="U518" i="4"/>
  <c r="T518" i="4"/>
  <c r="P518" i="4"/>
  <c r="O518" i="4"/>
  <c r="S517" i="4"/>
  <c r="R517" i="4"/>
  <c r="U517" i="4" s="1"/>
  <c r="Q517" i="4"/>
  <c r="T517" i="4" s="1"/>
  <c r="U516" i="4"/>
  <c r="T516" i="4"/>
  <c r="S516" i="4"/>
  <c r="R516" i="4"/>
  <c r="Q516" i="4"/>
  <c r="T515" i="4"/>
  <c r="S515" i="4"/>
  <c r="S514" i="4" s="1"/>
  <c r="R515" i="4"/>
  <c r="Q515" i="4"/>
  <c r="N515" i="4"/>
  <c r="M515" i="4"/>
  <c r="L515" i="4"/>
  <c r="O515" i="4" s="1"/>
  <c r="Q514" i="4"/>
  <c r="T514" i="4" s="1"/>
  <c r="K513" i="4"/>
  <c r="J513" i="4"/>
  <c r="I513" i="4"/>
  <c r="I510" i="4"/>
  <c r="K510" i="4" s="1"/>
  <c r="K509" i="4"/>
  <c r="I508" i="4"/>
  <c r="K508" i="4" s="1"/>
  <c r="I507" i="4"/>
  <c r="K507" i="4" s="1"/>
  <c r="I506" i="4"/>
  <c r="K506" i="4" s="1"/>
  <c r="I505" i="4"/>
  <c r="I504" i="4"/>
  <c r="U502" i="4"/>
  <c r="T502" i="4"/>
  <c r="P502" i="4"/>
  <c r="O502" i="4"/>
  <c r="U501" i="4"/>
  <c r="T501" i="4"/>
  <c r="P501" i="4"/>
  <c r="O501" i="4"/>
  <c r="U500" i="4"/>
  <c r="S500" i="4"/>
  <c r="R500" i="4"/>
  <c r="Q500" i="4"/>
  <c r="T500" i="4" s="1"/>
  <c r="P500" i="4"/>
  <c r="O500" i="4"/>
  <c r="N500" i="4"/>
  <c r="M500" i="4"/>
  <c r="L500" i="4"/>
  <c r="S499" i="4"/>
  <c r="S496" i="4" s="1"/>
  <c r="S494" i="4" s="1"/>
  <c r="R499" i="4"/>
  <c r="R496" i="4" s="1"/>
  <c r="U496" i="4" s="1"/>
  <c r="Q499" i="4"/>
  <c r="T499" i="4" s="1"/>
  <c r="P499" i="4"/>
  <c r="O499" i="4"/>
  <c r="U498" i="4"/>
  <c r="T498" i="4"/>
  <c r="P498" i="4"/>
  <c r="O498" i="4"/>
  <c r="N497" i="4"/>
  <c r="M497" i="4"/>
  <c r="P497" i="4" s="1"/>
  <c r="L497" i="4"/>
  <c r="O497" i="4" s="1"/>
  <c r="P496" i="4"/>
  <c r="N496" i="4"/>
  <c r="M496" i="4"/>
  <c r="L496" i="4"/>
  <c r="O496" i="4" s="1"/>
  <c r="U495" i="4"/>
  <c r="T495" i="4"/>
  <c r="S495" i="4"/>
  <c r="R495" i="4"/>
  <c r="Q495" i="4"/>
  <c r="P495" i="4"/>
  <c r="O495" i="4"/>
  <c r="N495" i="4"/>
  <c r="M495" i="4"/>
  <c r="L495" i="4"/>
  <c r="N494" i="4"/>
  <c r="M494" i="4"/>
  <c r="P494" i="4" s="1"/>
  <c r="L494" i="4"/>
  <c r="O494" i="4" s="1"/>
  <c r="J486" i="4"/>
  <c r="I486" i="4"/>
  <c r="K486" i="4" s="1"/>
  <c r="K485" i="4"/>
  <c r="J485" i="4"/>
  <c r="I485" i="4"/>
  <c r="J484" i="4"/>
  <c r="J483" i="4"/>
  <c r="K478" i="4"/>
  <c r="J478" i="4"/>
  <c r="K477" i="4"/>
  <c r="J477" i="4"/>
  <c r="K476" i="4"/>
  <c r="J476" i="4"/>
  <c r="J469" i="4"/>
  <c r="J459" i="4" s="1"/>
  <c r="J468" i="4"/>
  <c r="J461" i="4"/>
  <c r="J460" i="4"/>
  <c r="I459" i="4"/>
  <c r="K459" i="4" s="1"/>
  <c r="J458" i="4"/>
  <c r="I458" i="4"/>
  <c r="I457" i="4" s="1"/>
  <c r="K457" i="4" s="1"/>
  <c r="J457" i="4"/>
  <c r="J448" i="4"/>
  <c r="J447" i="4"/>
  <c r="J441" i="4" s="1"/>
  <c r="J424" i="4" s="1"/>
  <c r="J413" i="4" s="1"/>
  <c r="J442" i="4"/>
  <c r="I442" i="4"/>
  <c r="K442" i="4" s="1"/>
  <c r="I441" i="4"/>
  <c r="I424" i="4" s="1"/>
  <c r="K424" i="4" s="1"/>
  <c r="J434" i="4"/>
  <c r="I434" i="4"/>
  <c r="K434" i="4" s="1"/>
  <c r="J433" i="4"/>
  <c r="I433" i="4"/>
  <c r="K433" i="4" s="1"/>
  <c r="J426" i="4"/>
  <c r="I426" i="4"/>
  <c r="K426" i="4" s="1"/>
  <c r="J425" i="4"/>
  <c r="I425" i="4"/>
  <c r="K425" i="4" s="1"/>
  <c r="U422" i="4"/>
  <c r="T422" i="4"/>
  <c r="P422" i="4"/>
  <c r="O422" i="4"/>
  <c r="U421" i="4"/>
  <c r="T421" i="4"/>
  <c r="P421" i="4"/>
  <c r="O421" i="4"/>
  <c r="S420" i="4"/>
  <c r="R420" i="4"/>
  <c r="U420" i="4" s="1"/>
  <c r="Q420" i="4"/>
  <c r="T420" i="4" s="1"/>
  <c r="N420" i="4"/>
  <c r="M420" i="4"/>
  <c r="P420" i="4" s="1"/>
  <c r="L420" i="4"/>
  <c r="O420" i="4" s="1"/>
  <c r="S419" i="4"/>
  <c r="S417" i="4" s="1"/>
  <c r="R419" i="4"/>
  <c r="R416" i="4" s="1"/>
  <c r="U416" i="4" s="1"/>
  <c r="Q419" i="4"/>
  <c r="P419" i="4"/>
  <c r="O419" i="4"/>
  <c r="U418" i="4"/>
  <c r="T418" i="4"/>
  <c r="P418" i="4"/>
  <c r="O418" i="4"/>
  <c r="P417" i="4"/>
  <c r="O417" i="4"/>
  <c r="N417" i="4"/>
  <c r="M417" i="4"/>
  <c r="L417" i="4"/>
  <c r="N416" i="4"/>
  <c r="N414" i="4" s="1"/>
  <c r="M416" i="4"/>
  <c r="L416" i="4"/>
  <c r="O416" i="4" s="1"/>
  <c r="S415" i="4"/>
  <c r="R415" i="4"/>
  <c r="Q415" i="4"/>
  <c r="P415" i="4"/>
  <c r="N415" i="4"/>
  <c r="M415" i="4"/>
  <c r="L415" i="4"/>
  <c r="U401" i="4"/>
  <c r="T401" i="4"/>
  <c r="P401" i="4"/>
  <c r="O401" i="4"/>
  <c r="U400" i="4"/>
  <c r="T400" i="4"/>
  <c r="P400" i="4"/>
  <c r="O400" i="4"/>
  <c r="S399" i="4"/>
  <c r="R399" i="4"/>
  <c r="U399" i="4" s="1"/>
  <c r="Q399" i="4"/>
  <c r="T399" i="4" s="1"/>
  <c r="N399" i="4"/>
  <c r="M399" i="4"/>
  <c r="P399" i="4" s="1"/>
  <c r="L399" i="4"/>
  <c r="O399" i="4" s="1"/>
  <c r="U398" i="4"/>
  <c r="T398" i="4"/>
  <c r="P398" i="4"/>
  <c r="O398" i="4"/>
  <c r="U397" i="4"/>
  <c r="T397" i="4"/>
  <c r="P397" i="4"/>
  <c r="O397" i="4"/>
  <c r="S396" i="4"/>
  <c r="R396" i="4"/>
  <c r="U396" i="4" s="1"/>
  <c r="Q396" i="4"/>
  <c r="T396" i="4" s="1"/>
  <c r="N396" i="4"/>
  <c r="M396" i="4"/>
  <c r="P396" i="4" s="1"/>
  <c r="L396" i="4"/>
  <c r="O396" i="4" s="1"/>
  <c r="U395" i="4"/>
  <c r="S395" i="4"/>
  <c r="R395" i="4"/>
  <c r="Q395" i="4"/>
  <c r="T395" i="4" s="1"/>
  <c r="P395" i="4"/>
  <c r="O395" i="4"/>
  <c r="N395" i="4"/>
  <c r="M395" i="4"/>
  <c r="L395" i="4"/>
  <c r="U394" i="4"/>
  <c r="T394" i="4"/>
  <c r="S394" i="4"/>
  <c r="R394" i="4"/>
  <c r="Q394" i="4"/>
  <c r="O394" i="4"/>
  <c r="N394" i="4"/>
  <c r="N393" i="4" s="1"/>
  <c r="M394" i="4"/>
  <c r="L394" i="4"/>
  <c r="S393" i="4"/>
  <c r="R393" i="4"/>
  <c r="U393" i="4" s="1"/>
  <c r="Q393" i="4"/>
  <c r="T393" i="4" s="1"/>
  <c r="L393" i="4"/>
  <c r="O393" i="4" s="1"/>
  <c r="K392" i="4"/>
  <c r="J392" i="4"/>
  <c r="I392" i="4"/>
  <c r="J389" i="4"/>
  <c r="I389" i="4"/>
  <c r="K389" i="4" s="1"/>
  <c r="K388" i="4"/>
  <c r="J388" i="4"/>
  <c r="J387" i="4"/>
  <c r="I387" i="4"/>
  <c r="K386" i="4"/>
  <c r="J386" i="4"/>
  <c r="U384" i="4"/>
  <c r="T384" i="4"/>
  <c r="P384" i="4"/>
  <c r="O384" i="4"/>
  <c r="U383" i="4"/>
  <c r="T383" i="4"/>
  <c r="P383" i="4"/>
  <c r="O383" i="4"/>
  <c r="S382" i="4"/>
  <c r="R382" i="4"/>
  <c r="U382" i="4" s="1"/>
  <c r="Q382" i="4"/>
  <c r="T382" i="4" s="1"/>
  <c r="P382" i="4"/>
  <c r="N382" i="4"/>
  <c r="M382" i="4"/>
  <c r="L382" i="4"/>
  <c r="O382" i="4" s="1"/>
  <c r="S381" i="4"/>
  <c r="R381" i="4"/>
  <c r="R379" i="4" s="1"/>
  <c r="U379" i="4" s="1"/>
  <c r="Q381" i="4"/>
  <c r="Q379" i="4" s="1"/>
  <c r="P381" i="4"/>
  <c r="O381" i="4"/>
  <c r="U380" i="4"/>
  <c r="T380" i="4"/>
  <c r="P380" i="4"/>
  <c r="O380" i="4"/>
  <c r="O379" i="4"/>
  <c r="N379" i="4"/>
  <c r="M379" i="4"/>
  <c r="P379" i="4" s="1"/>
  <c r="L379" i="4"/>
  <c r="N378" i="4"/>
  <c r="M378" i="4"/>
  <c r="P378" i="4" s="1"/>
  <c r="L378" i="4"/>
  <c r="O378" i="4" s="1"/>
  <c r="U377" i="4"/>
  <c r="S377" i="4"/>
  <c r="R377" i="4"/>
  <c r="Q377" i="4"/>
  <c r="P377" i="4"/>
  <c r="O377" i="4"/>
  <c r="N377" i="4"/>
  <c r="M377" i="4"/>
  <c r="L377" i="4"/>
  <c r="L376" i="4" s="1"/>
  <c r="O376" i="4" s="1"/>
  <c r="N376" i="4"/>
  <c r="M376" i="4"/>
  <c r="P376" i="4" s="1"/>
  <c r="D374" i="4"/>
  <c r="K373" i="4"/>
  <c r="J373" i="4"/>
  <c r="J372" i="4"/>
  <c r="J366" i="4" s="1"/>
  <c r="I372" i="4"/>
  <c r="K371" i="4"/>
  <c r="J371" i="4"/>
  <c r="J370" i="4"/>
  <c r="I370" i="4"/>
  <c r="J369" i="4"/>
  <c r="I369" i="4"/>
  <c r="K368" i="4"/>
  <c r="J368" i="4"/>
  <c r="U365" i="4"/>
  <c r="T365" i="4"/>
  <c r="N365" i="4"/>
  <c r="N363" i="4" s="1"/>
  <c r="M365" i="4"/>
  <c r="L365" i="4"/>
  <c r="U364" i="4"/>
  <c r="T364" i="4"/>
  <c r="P364" i="4"/>
  <c r="O364" i="4"/>
  <c r="U363" i="4"/>
  <c r="T363" i="4"/>
  <c r="S363" i="4"/>
  <c r="R363" i="4"/>
  <c r="Q363" i="4"/>
  <c r="U362" i="4"/>
  <c r="T362" i="4"/>
  <c r="N362" i="4"/>
  <c r="M362" i="4"/>
  <c r="M360" i="4" s="1"/>
  <c r="L362" i="4"/>
  <c r="L360" i="4" s="1"/>
  <c r="U361" i="4"/>
  <c r="T361" i="4"/>
  <c r="P361" i="4"/>
  <c r="O361" i="4"/>
  <c r="S360" i="4"/>
  <c r="R360" i="4"/>
  <c r="U360" i="4" s="1"/>
  <c r="Q360" i="4"/>
  <c r="T360" i="4" s="1"/>
  <c r="U359" i="4"/>
  <c r="S359" i="4"/>
  <c r="R359" i="4"/>
  <c r="Q359" i="4"/>
  <c r="T359" i="4" s="1"/>
  <c r="U358" i="4"/>
  <c r="T358" i="4"/>
  <c r="S358" i="4"/>
  <c r="S357" i="4" s="1"/>
  <c r="R358" i="4"/>
  <c r="Q358" i="4"/>
  <c r="O358" i="4"/>
  <c r="N358" i="4"/>
  <c r="M358" i="4"/>
  <c r="P358" i="4" s="1"/>
  <c r="L358" i="4"/>
  <c r="R357" i="4"/>
  <c r="U357" i="4" s="1"/>
  <c r="Q357" i="4"/>
  <c r="T357" i="4" s="1"/>
  <c r="D355" i="4"/>
  <c r="J354" i="4"/>
  <c r="J353" i="4"/>
  <c r="D351" i="4"/>
  <c r="J350" i="4"/>
  <c r="J349" i="4"/>
  <c r="J348" i="4"/>
  <c r="J347" i="4"/>
  <c r="I347" i="4"/>
  <c r="J345" i="4"/>
  <c r="I345" i="4"/>
  <c r="I333" i="4" s="1"/>
  <c r="U342" i="4"/>
  <c r="T342" i="4"/>
  <c r="N342" i="4"/>
  <c r="N340" i="4" s="1"/>
  <c r="M342" i="4"/>
  <c r="M340" i="4" s="1"/>
  <c r="P340" i="4" s="1"/>
  <c r="L342" i="4"/>
  <c r="O342" i="4" s="1"/>
  <c r="U341" i="4"/>
  <c r="T341" i="4"/>
  <c r="P341" i="4"/>
  <c r="O341" i="4"/>
  <c r="S340" i="4"/>
  <c r="R340" i="4"/>
  <c r="U340" i="4" s="1"/>
  <c r="Q340" i="4"/>
  <c r="T340" i="4" s="1"/>
  <c r="U339" i="4"/>
  <c r="T339" i="4"/>
  <c r="N339" i="4"/>
  <c r="N337" i="4" s="1"/>
  <c r="M339" i="4"/>
  <c r="L339" i="4"/>
  <c r="U338" i="4"/>
  <c r="T338" i="4"/>
  <c r="P338" i="4"/>
  <c r="O338" i="4"/>
  <c r="U337" i="4"/>
  <c r="T337" i="4"/>
  <c r="S337" i="4"/>
  <c r="R337" i="4"/>
  <c r="Q337" i="4"/>
  <c r="T336" i="4"/>
  <c r="S336" i="4"/>
  <c r="R336" i="4"/>
  <c r="U336" i="4" s="1"/>
  <c r="Q336" i="4"/>
  <c r="S335" i="4"/>
  <c r="S334" i="4" s="1"/>
  <c r="R335" i="4"/>
  <c r="Q335" i="4"/>
  <c r="P335" i="4"/>
  <c r="N335" i="4"/>
  <c r="M335" i="4"/>
  <c r="L335" i="4"/>
  <c r="I331" i="4"/>
  <c r="I320" i="4" s="1"/>
  <c r="K320" i="4" s="1"/>
  <c r="U329" i="4"/>
  <c r="T329" i="4"/>
  <c r="N329" i="4"/>
  <c r="M329" i="4"/>
  <c r="M327" i="4" s="1"/>
  <c r="P327" i="4" s="1"/>
  <c r="L329" i="4"/>
  <c r="O329" i="4" s="1"/>
  <c r="U328" i="4"/>
  <c r="T328" i="4"/>
  <c r="P328" i="4"/>
  <c r="O328" i="4"/>
  <c r="S327" i="4"/>
  <c r="R327" i="4"/>
  <c r="U327" i="4" s="1"/>
  <c r="Q327" i="4"/>
  <c r="T327" i="4" s="1"/>
  <c r="U326" i="4"/>
  <c r="T326" i="4"/>
  <c r="N326" i="4"/>
  <c r="N324" i="4" s="1"/>
  <c r="M326" i="4"/>
  <c r="L326" i="4"/>
  <c r="U325" i="4"/>
  <c r="T325" i="4"/>
  <c r="P325" i="4"/>
  <c r="O325" i="4"/>
  <c r="U324" i="4"/>
  <c r="T324" i="4"/>
  <c r="S324" i="4"/>
  <c r="R324" i="4"/>
  <c r="Q324" i="4"/>
  <c r="S323" i="4"/>
  <c r="S321" i="4" s="1"/>
  <c r="R323" i="4"/>
  <c r="Q323" i="4"/>
  <c r="T323" i="4" s="1"/>
  <c r="U322" i="4"/>
  <c r="S322" i="4"/>
  <c r="R322" i="4"/>
  <c r="Q322" i="4"/>
  <c r="P322" i="4"/>
  <c r="O322" i="4"/>
  <c r="N322" i="4"/>
  <c r="M322" i="4"/>
  <c r="L322" i="4"/>
  <c r="J320" i="4"/>
  <c r="I315" i="4"/>
  <c r="I303" i="4" s="1"/>
  <c r="K303" i="4" s="1"/>
  <c r="U312" i="4"/>
  <c r="T312" i="4"/>
  <c r="N312" i="4"/>
  <c r="M312" i="4"/>
  <c r="L312" i="4"/>
  <c r="L310" i="4" s="1"/>
  <c r="O310" i="4" s="1"/>
  <c r="U311" i="4"/>
  <c r="T311" i="4"/>
  <c r="P311" i="4"/>
  <c r="O311" i="4"/>
  <c r="U310" i="4"/>
  <c r="S310" i="4"/>
  <c r="R310" i="4"/>
  <c r="Q310" i="4"/>
  <c r="T310" i="4" s="1"/>
  <c r="S309" i="4"/>
  <c r="R309" i="4"/>
  <c r="R307" i="4" s="1"/>
  <c r="Q309" i="4"/>
  <c r="Q307" i="4" s="1"/>
  <c r="N309" i="4"/>
  <c r="N307" i="4" s="1"/>
  <c r="M309" i="4"/>
  <c r="L309" i="4"/>
  <c r="L307" i="4" s="1"/>
  <c r="U308" i="4"/>
  <c r="T308" i="4"/>
  <c r="P308" i="4"/>
  <c r="O308" i="4"/>
  <c r="S305" i="4"/>
  <c r="R305" i="4"/>
  <c r="Q305" i="4"/>
  <c r="T305" i="4" s="1"/>
  <c r="N305" i="4"/>
  <c r="M305" i="4"/>
  <c r="L305" i="4"/>
  <c r="J303" i="4"/>
  <c r="I297" i="4"/>
  <c r="K297" i="4" s="1"/>
  <c r="I296" i="4"/>
  <c r="K296" i="4" s="1"/>
  <c r="J294" i="4"/>
  <c r="J281" i="4" s="1"/>
  <c r="I294" i="4"/>
  <c r="K294" i="4" s="1"/>
  <c r="I293" i="4"/>
  <c r="I282" i="4" s="1"/>
  <c r="K282" i="4" s="1"/>
  <c r="U291" i="4"/>
  <c r="T291" i="4"/>
  <c r="N291" i="4"/>
  <c r="N289" i="4" s="1"/>
  <c r="M291" i="4"/>
  <c r="P291" i="4" s="1"/>
  <c r="L291" i="4"/>
  <c r="U290" i="4"/>
  <c r="T290" i="4"/>
  <c r="P290" i="4"/>
  <c r="O290" i="4"/>
  <c r="T289" i="4"/>
  <c r="S289" i="4"/>
  <c r="R289" i="4"/>
  <c r="U289" i="4" s="1"/>
  <c r="Q289" i="4"/>
  <c r="U288" i="4"/>
  <c r="T288" i="4"/>
  <c r="N288" i="4"/>
  <c r="N286" i="4" s="1"/>
  <c r="M288" i="4"/>
  <c r="L288" i="4"/>
  <c r="L286" i="4" s="1"/>
  <c r="U287" i="4"/>
  <c r="T287" i="4"/>
  <c r="P287" i="4"/>
  <c r="O287" i="4"/>
  <c r="U286" i="4"/>
  <c r="S286" i="4"/>
  <c r="R286" i="4"/>
  <c r="Q286" i="4"/>
  <c r="T286" i="4" s="1"/>
  <c r="U285" i="4"/>
  <c r="T285" i="4"/>
  <c r="S285" i="4"/>
  <c r="R285" i="4"/>
  <c r="Q285" i="4"/>
  <c r="S284" i="4"/>
  <c r="S283" i="4" s="1"/>
  <c r="R284" i="4"/>
  <c r="Q284" i="4"/>
  <c r="T284" i="4" s="1"/>
  <c r="N284" i="4"/>
  <c r="M284" i="4"/>
  <c r="L284" i="4"/>
  <c r="J282" i="4"/>
  <c r="I277" i="4"/>
  <c r="I266" i="4" s="1"/>
  <c r="U275" i="4"/>
  <c r="T275" i="4"/>
  <c r="N275" i="4"/>
  <c r="N273" i="4" s="1"/>
  <c r="M275" i="4"/>
  <c r="L275" i="4"/>
  <c r="U274" i="4"/>
  <c r="T274" i="4"/>
  <c r="P274" i="4"/>
  <c r="O274" i="4"/>
  <c r="U273" i="4"/>
  <c r="T273" i="4"/>
  <c r="S273" i="4"/>
  <c r="R273" i="4"/>
  <c r="Q273" i="4"/>
  <c r="S272" i="4"/>
  <c r="S269" i="4" s="1"/>
  <c r="R272" i="4"/>
  <c r="R269" i="4" s="1"/>
  <c r="Q272" i="4"/>
  <c r="Q270" i="4" s="1"/>
  <c r="N272" i="4"/>
  <c r="M272" i="4"/>
  <c r="L272" i="4"/>
  <c r="U271" i="4"/>
  <c r="T271" i="4"/>
  <c r="P271" i="4"/>
  <c r="O271" i="4"/>
  <c r="S268" i="4"/>
  <c r="R268" i="4"/>
  <c r="Q268" i="4"/>
  <c r="P268" i="4"/>
  <c r="N268" i="4"/>
  <c r="M268" i="4"/>
  <c r="L268" i="4"/>
  <c r="J266" i="4"/>
  <c r="K264" i="4"/>
  <c r="K263" i="4"/>
  <c r="I261" i="4"/>
  <c r="K261" i="4" s="1"/>
  <c r="L259" i="4"/>
  <c r="L258" i="4"/>
  <c r="L257" i="4"/>
  <c r="L256" i="4"/>
  <c r="P255" i="4"/>
  <c r="N255" i="4"/>
  <c r="N233" i="4" s="1"/>
  <c r="J254" i="4"/>
  <c r="I253" i="4"/>
  <c r="I252" i="4"/>
  <c r="I250" i="4"/>
  <c r="K250" i="4" s="1"/>
  <c r="L248" i="4"/>
  <c r="L247" i="4"/>
  <c r="L246" i="4"/>
  <c r="L245" i="4"/>
  <c r="P244" i="4"/>
  <c r="N244" i="4"/>
  <c r="J243" i="4"/>
  <c r="J242" i="4"/>
  <c r="J241" i="4"/>
  <c r="J239" i="4"/>
  <c r="N237" i="4"/>
  <c r="N236" i="4"/>
  <c r="N235" i="4"/>
  <c r="N234" i="4"/>
  <c r="J232" i="4"/>
  <c r="J186" i="4" s="1"/>
  <c r="I231" i="4"/>
  <c r="K231" i="4" s="1"/>
  <c r="I230" i="4"/>
  <c r="K230" i="4" s="1"/>
  <c r="I229" i="4"/>
  <c r="K229" i="4" s="1"/>
  <c r="L226" i="4"/>
  <c r="L225" i="4"/>
  <c r="L224" i="4"/>
  <c r="P223" i="4"/>
  <c r="N223" i="4"/>
  <c r="J222" i="4"/>
  <c r="I221" i="4"/>
  <c r="I220" i="4"/>
  <c r="K220" i="4" s="1"/>
  <c r="L218" i="4"/>
  <c r="L217" i="4"/>
  <c r="L216" i="4"/>
  <c r="P215" i="4"/>
  <c r="N215" i="4"/>
  <c r="J214" i="4"/>
  <c r="I213" i="4"/>
  <c r="K213" i="4" s="1"/>
  <c r="I212" i="4"/>
  <c r="K212" i="4" s="1"/>
  <c r="I210" i="4"/>
  <c r="K210" i="4" s="1"/>
  <c r="L208" i="4"/>
  <c r="L207" i="4"/>
  <c r="L206" i="4"/>
  <c r="L205" i="4"/>
  <c r="P204" i="4"/>
  <c r="N204" i="4"/>
  <c r="J203" i="4"/>
  <c r="J200" i="4"/>
  <c r="I199" i="4"/>
  <c r="I196" i="4" s="1"/>
  <c r="P197" i="4"/>
  <c r="L197" i="4"/>
  <c r="O197" i="4" s="1"/>
  <c r="J196" i="4"/>
  <c r="U195" i="4"/>
  <c r="T195" i="4"/>
  <c r="N195" i="4"/>
  <c r="N193" i="4" s="1"/>
  <c r="M195" i="4"/>
  <c r="P195" i="4" s="1"/>
  <c r="L195" i="4"/>
  <c r="L193" i="4" s="1"/>
  <c r="O193" i="4" s="1"/>
  <c r="U194" i="4"/>
  <c r="T194" i="4"/>
  <c r="P194" i="4"/>
  <c r="O194" i="4"/>
  <c r="S193" i="4"/>
  <c r="R193" i="4"/>
  <c r="U193" i="4" s="1"/>
  <c r="Q193" i="4"/>
  <c r="T193" i="4" s="1"/>
  <c r="S192" i="4"/>
  <c r="S190" i="4" s="1"/>
  <c r="R192" i="4"/>
  <c r="R189" i="4" s="1"/>
  <c r="Q192" i="4"/>
  <c r="N192" i="4"/>
  <c r="M192" i="4"/>
  <c r="M190" i="4" s="1"/>
  <c r="L192" i="4"/>
  <c r="L190" i="4" s="1"/>
  <c r="U191" i="4"/>
  <c r="T191" i="4"/>
  <c r="P191" i="4"/>
  <c r="O191" i="4"/>
  <c r="T188" i="4"/>
  <c r="S188" i="4"/>
  <c r="R188" i="4"/>
  <c r="U188" i="4" s="1"/>
  <c r="Q188" i="4"/>
  <c r="N188" i="4"/>
  <c r="M188" i="4"/>
  <c r="L188" i="4"/>
  <c r="O188" i="4" s="1"/>
  <c r="K185" i="4"/>
  <c r="I184" i="4"/>
  <c r="K184" i="4" s="1"/>
  <c r="U182" i="4"/>
  <c r="T182" i="4"/>
  <c r="N182" i="4"/>
  <c r="N180" i="4" s="1"/>
  <c r="M182" i="4"/>
  <c r="P182" i="4" s="1"/>
  <c r="L182" i="4"/>
  <c r="L180" i="4" s="1"/>
  <c r="O180" i="4" s="1"/>
  <c r="U181" i="4"/>
  <c r="T181" i="4"/>
  <c r="P181" i="4"/>
  <c r="O181" i="4"/>
  <c r="S180" i="4"/>
  <c r="R180" i="4"/>
  <c r="U180" i="4" s="1"/>
  <c r="Q180" i="4"/>
  <c r="T180" i="4" s="1"/>
  <c r="S179" i="4"/>
  <c r="S177" i="4" s="1"/>
  <c r="R179" i="4"/>
  <c r="R176" i="4" s="1"/>
  <c r="Q179" i="4"/>
  <c r="T179" i="4" s="1"/>
  <c r="N179" i="4"/>
  <c r="N177" i="4" s="1"/>
  <c r="M179" i="4"/>
  <c r="M177" i="4" s="1"/>
  <c r="L179" i="4"/>
  <c r="U178" i="4"/>
  <c r="T178" i="4"/>
  <c r="P178" i="4"/>
  <c r="O178" i="4"/>
  <c r="U175" i="4"/>
  <c r="T175" i="4"/>
  <c r="S175" i="4"/>
  <c r="R175" i="4"/>
  <c r="Q175" i="4"/>
  <c r="P175" i="4"/>
  <c r="O175" i="4"/>
  <c r="N175" i="4"/>
  <c r="M175" i="4"/>
  <c r="L175" i="4"/>
  <c r="J173" i="4"/>
  <c r="I170" i="4"/>
  <c r="I157" i="4" s="1"/>
  <c r="K157" i="4" s="1"/>
  <c r="I169" i="4"/>
  <c r="K169" i="4" s="1"/>
  <c r="I168" i="4"/>
  <c r="K168" i="4" s="1"/>
  <c r="U166" i="4"/>
  <c r="T166" i="4"/>
  <c r="N166" i="4"/>
  <c r="N164" i="4" s="1"/>
  <c r="M166" i="4"/>
  <c r="P166" i="4" s="1"/>
  <c r="L166" i="4"/>
  <c r="L164" i="4" s="1"/>
  <c r="O164" i="4" s="1"/>
  <c r="U165" i="4"/>
  <c r="T165" i="4"/>
  <c r="P165" i="4"/>
  <c r="O165" i="4"/>
  <c r="S164" i="4"/>
  <c r="R164" i="4"/>
  <c r="U164" i="4" s="1"/>
  <c r="Q164" i="4"/>
  <c r="T164" i="4" s="1"/>
  <c r="S163" i="4"/>
  <c r="S160" i="4" s="1"/>
  <c r="R163" i="4"/>
  <c r="R160" i="4" s="1"/>
  <c r="N163" i="4"/>
  <c r="N161" i="4" s="1"/>
  <c r="M163" i="4"/>
  <c r="M161" i="4" s="1"/>
  <c r="P161" i="4" s="1"/>
  <c r="L163" i="4"/>
  <c r="U162" i="4"/>
  <c r="T162" i="4"/>
  <c r="P162" i="4"/>
  <c r="O162" i="4"/>
  <c r="U159" i="4"/>
  <c r="S159" i="4"/>
  <c r="R159" i="4"/>
  <c r="Q159" i="4"/>
  <c r="T159" i="4" s="1"/>
  <c r="P159" i="4"/>
  <c r="O159" i="4"/>
  <c r="N159" i="4"/>
  <c r="M159" i="4"/>
  <c r="L159" i="4"/>
  <c r="J157" i="4"/>
  <c r="I155" i="4"/>
  <c r="K155" i="4" s="1"/>
  <c r="I154" i="4"/>
  <c r="K154" i="4" s="1"/>
  <c r="I153" i="4"/>
  <c r="K153" i="4" s="1"/>
  <c r="I152" i="4"/>
  <c r="K152" i="4" s="1"/>
  <c r="I151" i="4"/>
  <c r="K151" i="4" s="1"/>
  <c r="U148" i="4"/>
  <c r="T148" i="4"/>
  <c r="N148" i="4"/>
  <c r="N146" i="4" s="1"/>
  <c r="M148" i="4"/>
  <c r="L148" i="4"/>
  <c r="O148" i="4" s="1"/>
  <c r="U147" i="4"/>
  <c r="T147" i="4"/>
  <c r="P147" i="4"/>
  <c r="O147" i="4"/>
  <c r="U146" i="4"/>
  <c r="S146" i="4"/>
  <c r="R146" i="4"/>
  <c r="Q146" i="4"/>
  <c r="T146" i="4" s="1"/>
  <c r="S145" i="4"/>
  <c r="S143" i="4" s="1"/>
  <c r="R145" i="4"/>
  <c r="U145" i="4" s="1"/>
  <c r="Q145" i="4"/>
  <c r="T145" i="4" s="1"/>
  <c r="N145" i="4"/>
  <c r="N143" i="4" s="1"/>
  <c r="M145" i="4"/>
  <c r="M143" i="4" s="1"/>
  <c r="L145" i="4"/>
  <c r="L143" i="4" s="1"/>
  <c r="U144" i="4"/>
  <c r="T144" i="4"/>
  <c r="P144" i="4"/>
  <c r="O144" i="4"/>
  <c r="S141" i="4"/>
  <c r="R141" i="4"/>
  <c r="U141" i="4" s="1"/>
  <c r="Q141" i="4"/>
  <c r="T141" i="4" s="1"/>
  <c r="N141" i="4"/>
  <c r="M141" i="4"/>
  <c r="L141" i="4"/>
  <c r="O141" i="4" s="1"/>
  <c r="J139" i="4"/>
  <c r="J138" i="4"/>
  <c r="J137" i="4"/>
  <c r="I131" i="4"/>
  <c r="K131" i="4" s="1"/>
  <c r="I130" i="4"/>
  <c r="K130" i="4" s="1"/>
  <c r="I129" i="4"/>
  <c r="K129" i="4" s="1"/>
  <c r="I128" i="4"/>
  <c r="K128" i="4" s="1"/>
  <c r="U126" i="4"/>
  <c r="T126" i="4"/>
  <c r="N126" i="4"/>
  <c r="N124" i="4" s="1"/>
  <c r="M126" i="4"/>
  <c r="L126" i="4"/>
  <c r="U125" i="4"/>
  <c r="T125" i="4"/>
  <c r="P125" i="4"/>
  <c r="O125" i="4"/>
  <c r="S124" i="4"/>
  <c r="R124" i="4"/>
  <c r="U124" i="4" s="1"/>
  <c r="Q124" i="4"/>
  <c r="T124" i="4" s="1"/>
  <c r="S123" i="4"/>
  <c r="R123" i="4"/>
  <c r="Q123" i="4"/>
  <c r="N123" i="4"/>
  <c r="N121" i="4" s="1"/>
  <c r="M123" i="4"/>
  <c r="P123" i="4" s="1"/>
  <c r="L123" i="4"/>
  <c r="L121" i="4" s="1"/>
  <c r="O121" i="4" s="1"/>
  <c r="U122" i="4"/>
  <c r="T122" i="4"/>
  <c r="P122" i="4"/>
  <c r="O122" i="4"/>
  <c r="U119" i="4"/>
  <c r="T119" i="4"/>
  <c r="S119" i="4"/>
  <c r="R119" i="4"/>
  <c r="Q119" i="4"/>
  <c r="P119" i="4"/>
  <c r="O119" i="4"/>
  <c r="N119" i="4"/>
  <c r="M119" i="4"/>
  <c r="L119" i="4"/>
  <c r="J117" i="4"/>
  <c r="I115" i="4"/>
  <c r="K115" i="4" s="1"/>
  <c r="I114" i="4"/>
  <c r="K114" i="4" s="1"/>
  <c r="I110" i="4"/>
  <c r="K110" i="4" s="1"/>
  <c r="I109" i="4"/>
  <c r="I93" i="4" s="1"/>
  <c r="K93" i="4" s="1"/>
  <c r="U103" i="4"/>
  <c r="T103" i="4"/>
  <c r="N103" i="4"/>
  <c r="N101" i="4" s="1"/>
  <c r="M103" i="4"/>
  <c r="P103" i="4" s="1"/>
  <c r="L103" i="4"/>
  <c r="U102" i="4"/>
  <c r="T102" i="4"/>
  <c r="P102" i="4"/>
  <c r="O102" i="4"/>
  <c r="U101" i="4"/>
  <c r="T101" i="4"/>
  <c r="S101" i="4"/>
  <c r="R101" i="4"/>
  <c r="Q101" i="4"/>
  <c r="S100" i="4"/>
  <c r="S98" i="4" s="1"/>
  <c r="R100" i="4"/>
  <c r="R98" i="4" s="1"/>
  <c r="Q100" i="4"/>
  <c r="Q98" i="4" s="1"/>
  <c r="N100" i="4"/>
  <c r="N98" i="4" s="1"/>
  <c r="M100" i="4"/>
  <c r="L100" i="4"/>
  <c r="L98" i="4" s="1"/>
  <c r="O98" i="4" s="1"/>
  <c r="U99" i="4"/>
  <c r="T99" i="4"/>
  <c r="P99" i="4"/>
  <c r="O99" i="4"/>
  <c r="S96" i="4"/>
  <c r="R96" i="4"/>
  <c r="U96" i="4" s="1"/>
  <c r="Q96" i="4"/>
  <c r="N96" i="4"/>
  <c r="M96" i="4"/>
  <c r="P96" i="4" s="1"/>
  <c r="L96" i="4"/>
  <c r="J94" i="4"/>
  <c r="J93" i="4"/>
  <c r="I91" i="4"/>
  <c r="K91" i="4" s="1"/>
  <c r="I90" i="4"/>
  <c r="K90" i="4" s="1"/>
  <c r="I89" i="4"/>
  <c r="K89" i="4" s="1"/>
  <c r="I88" i="4"/>
  <c r="K88" i="4" s="1"/>
  <c r="I87" i="4"/>
  <c r="K87" i="4" s="1"/>
  <c r="I86" i="4"/>
  <c r="K86" i="4" s="1"/>
  <c r="I85" i="4"/>
  <c r="K85" i="4" s="1"/>
  <c r="J84" i="4"/>
  <c r="J72" i="4" s="1"/>
  <c r="J83" i="4"/>
  <c r="U81" i="4"/>
  <c r="T81" i="4"/>
  <c r="N81" i="4"/>
  <c r="N79" i="4" s="1"/>
  <c r="M81" i="4"/>
  <c r="M79" i="4" s="1"/>
  <c r="P79" i="4" s="1"/>
  <c r="L81" i="4"/>
  <c r="O81" i="4" s="1"/>
  <c r="U80" i="4"/>
  <c r="T80" i="4"/>
  <c r="P80" i="4"/>
  <c r="O80" i="4"/>
  <c r="U79" i="4"/>
  <c r="T79" i="4"/>
  <c r="S79" i="4"/>
  <c r="R79" i="4"/>
  <c r="Q79" i="4"/>
  <c r="S78" i="4"/>
  <c r="S76" i="4" s="1"/>
  <c r="R78" i="4"/>
  <c r="U78" i="4" s="1"/>
  <c r="N78" i="4"/>
  <c r="N76" i="4" s="1"/>
  <c r="M78" i="4"/>
  <c r="L78" i="4"/>
  <c r="O78" i="4" s="1"/>
  <c r="U77" i="4"/>
  <c r="T77" i="4"/>
  <c r="P77" i="4"/>
  <c r="O77" i="4"/>
  <c r="S74" i="4"/>
  <c r="R74" i="4"/>
  <c r="U74" i="4" s="1"/>
  <c r="Q74" i="4"/>
  <c r="T74" i="4" s="1"/>
  <c r="N74" i="4"/>
  <c r="M74" i="4"/>
  <c r="P74" i="4" s="1"/>
  <c r="L74" i="4"/>
  <c r="O74" i="4" s="1"/>
  <c r="J71" i="4"/>
  <c r="U68" i="4"/>
  <c r="T68" i="4"/>
  <c r="N68" i="4"/>
  <c r="M68" i="4"/>
  <c r="M66" i="4" s="1"/>
  <c r="P66" i="4" s="1"/>
  <c r="L68" i="4"/>
  <c r="O68" i="4" s="1"/>
  <c r="U67" i="4"/>
  <c r="T67" i="4"/>
  <c r="P67" i="4"/>
  <c r="O67" i="4"/>
  <c r="U66" i="4"/>
  <c r="S66" i="4"/>
  <c r="R66" i="4"/>
  <c r="Q66" i="4"/>
  <c r="T66" i="4" s="1"/>
  <c r="U65" i="4"/>
  <c r="T65" i="4"/>
  <c r="N65" i="4"/>
  <c r="N63" i="4" s="1"/>
  <c r="M65" i="4"/>
  <c r="L65" i="4"/>
  <c r="U64" i="4"/>
  <c r="T64" i="4"/>
  <c r="P64" i="4"/>
  <c r="O64" i="4"/>
  <c r="U63" i="4"/>
  <c r="T63" i="4"/>
  <c r="S63" i="4"/>
  <c r="R63" i="4"/>
  <c r="Q63" i="4"/>
  <c r="S62" i="4"/>
  <c r="R62" i="4"/>
  <c r="U62" i="4" s="1"/>
  <c r="Q62" i="4"/>
  <c r="T62" i="4" s="1"/>
  <c r="U61" i="4"/>
  <c r="T61" i="4"/>
  <c r="S61" i="4"/>
  <c r="R61" i="4"/>
  <c r="Q61" i="4"/>
  <c r="P61" i="4"/>
  <c r="O61" i="4"/>
  <c r="N61" i="4"/>
  <c r="M61" i="4"/>
  <c r="L61" i="4"/>
  <c r="S60" i="4"/>
  <c r="R60" i="4"/>
  <c r="U60" i="4" s="1"/>
  <c r="U53" i="4"/>
  <c r="T53" i="4"/>
  <c r="N53" i="4"/>
  <c r="M53" i="4"/>
  <c r="P53" i="4" s="1"/>
  <c r="L53" i="4"/>
  <c r="O53" i="4" s="1"/>
  <c r="U52" i="4"/>
  <c r="T52" i="4"/>
  <c r="P52" i="4"/>
  <c r="O52" i="4"/>
  <c r="S51" i="4"/>
  <c r="R51" i="4"/>
  <c r="U51" i="4" s="1"/>
  <c r="Q51" i="4"/>
  <c r="T51" i="4" s="1"/>
  <c r="U50" i="4"/>
  <c r="T50" i="4"/>
  <c r="N50" i="4"/>
  <c r="N48" i="4" s="1"/>
  <c r="M50" i="4"/>
  <c r="M48" i="4" s="1"/>
  <c r="L50" i="4"/>
  <c r="U49" i="4"/>
  <c r="T49" i="4"/>
  <c r="P49" i="4"/>
  <c r="O49" i="4"/>
  <c r="T48" i="4"/>
  <c r="S48" i="4"/>
  <c r="R48" i="4"/>
  <c r="U48" i="4" s="1"/>
  <c r="Q48" i="4"/>
  <c r="S47" i="4"/>
  <c r="R47" i="4"/>
  <c r="U47" i="4" s="1"/>
  <c r="Q47" i="4"/>
  <c r="T47" i="4" s="1"/>
  <c r="U46" i="4"/>
  <c r="T46" i="4"/>
  <c r="S46" i="4"/>
  <c r="R46" i="4"/>
  <c r="Q46" i="4"/>
  <c r="Q45" i="4" s="1"/>
  <c r="T45" i="4" s="1"/>
  <c r="P46" i="4"/>
  <c r="O46" i="4"/>
  <c r="N46" i="4"/>
  <c r="M46" i="4"/>
  <c r="L46" i="4"/>
  <c r="S45" i="4"/>
  <c r="R45" i="4"/>
  <c r="U45" i="4" s="1"/>
  <c r="S27" i="4"/>
  <c r="R27" i="4"/>
  <c r="U27" i="4" s="1"/>
  <c r="Q27" i="4"/>
  <c r="S26" i="4"/>
  <c r="R26" i="4"/>
  <c r="Q26" i="4"/>
  <c r="T26" i="4" s="1"/>
  <c r="N26" i="4"/>
  <c r="M26" i="4"/>
  <c r="L26" i="4"/>
  <c r="S23" i="4"/>
  <c r="R23" i="4"/>
  <c r="U23" i="4" s="1"/>
  <c r="Q23" i="4"/>
  <c r="Q20" i="4" s="1"/>
  <c r="T20" i="4" s="1"/>
  <c r="O23" i="4"/>
  <c r="N23" i="4"/>
  <c r="M23" i="4"/>
  <c r="P23" i="4" s="1"/>
  <c r="L23" i="4"/>
  <c r="A788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H777" i="3"/>
  <c r="I776" i="3"/>
  <c r="I775" i="3"/>
  <c r="I774" i="3"/>
  <c r="I759" i="3" s="1"/>
  <c r="K759" i="3" s="1"/>
  <c r="I772" i="3"/>
  <c r="K772" i="3" s="1"/>
  <c r="I770" i="3"/>
  <c r="K770" i="3" s="1"/>
  <c r="U768" i="3"/>
  <c r="T768" i="3"/>
  <c r="P768" i="3"/>
  <c r="O768" i="3"/>
  <c r="U767" i="3"/>
  <c r="T767" i="3"/>
  <c r="P767" i="3"/>
  <c r="O767" i="3"/>
  <c r="U766" i="3"/>
  <c r="S766" i="3"/>
  <c r="R766" i="3"/>
  <c r="Q766" i="3"/>
  <c r="T766" i="3" s="1"/>
  <c r="P766" i="3"/>
  <c r="O766" i="3"/>
  <c r="N766" i="3"/>
  <c r="M766" i="3"/>
  <c r="L766" i="3"/>
  <c r="S765" i="3"/>
  <c r="R765" i="3"/>
  <c r="Q765" i="3"/>
  <c r="Q763" i="3" s="1"/>
  <c r="P765" i="3"/>
  <c r="O765" i="3"/>
  <c r="U764" i="3"/>
  <c r="T764" i="3"/>
  <c r="P764" i="3"/>
  <c r="O764" i="3"/>
  <c r="P763" i="3"/>
  <c r="N763" i="3"/>
  <c r="M763" i="3"/>
  <c r="L763" i="3"/>
  <c r="O763" i="3" s="1"/>
  <c r="P762" i="3"/>
  <c r="N762" i="3"/>
  <c r="M762" i="3"/>
  <c r="L762" i="3"/>
  <c r="O762" i="3" s="1"/>
  <c r="U761" i="3"/>
  <c r="T761" i="3"/>
  <c r="S761" i="3"/>
  <c r="R761" i="3"/>
  <c r="Q761" i="3"/>
  <c r="P761" i="3"/>
  <c r="O761" i="3"/>
  <c r="N761" i="3"/>
  <c r="M761" i="3"/>
  <c r="L761" i="3"/>
  <c r="P760" i="3"/>
  <c r="N760" i="3"/>
  <c r="M760" i="3"/>
  <c r="J759" i="3"/>
  <c r="J758" i="3"/>
  <c r="I756" i="3"/>
  <c r="K756" i="3" s="1"/>
  <c r="I753" i="3"/>
  <c r="K753" i="3" s="1"/>
  <c r="I750" i="3"/>
  <c r="K750" i="3" s="1"/>
  <c r="I747" i="3"/>
  <c r="K747" i="3" s="1"/>
  <c r="I745" i="3"/>
  <c r="K745" i="3" s="1"/>
  <c r="I743" i="3"/>
  <c r="K743" i="3" s="1"/>
  <c r="I741" i="3"/>
  <c r="K741" i="3" s="1"/>
  <c r="U737" i="3"/>
  <c r="T737" i="3"/>
  <c r="P737" i="3"/>
  <c r="O737" i="3"/>
  <c r="U736" i="3"/>
  <c r="T736" i="3"/>
  <c r="P736" i="3"/>
  <c r="O736" i="3"/>
  <c r="U735" i="3"/>
  <c r="T735" i="3"/>
  <c r="S735" i="3"/>
  <c r="R735" i="3"/>
  <c r="Q735" i="3"/>
  <c r="P735" i="3"/>
  <c r="O735" i="3"/>
  <c r="N735" i="3"/>
  <c r="M735" i="3"/>
  <c r="L735" i="3"/>
  <c r="S734" i="3"/>
  <c r="R734" i="3"/>
  <c r="R732" i="3" s="1"/>
  <c r="Q734" i="3"/>
  <c r="Q732" i="3" s="1"/>
  <c r="P734" i="3"/>
  <c r="O734" i="3"/>
  <c r="U733" i="3"/>
  <c r="T733" i="3"/>
  <c r="P733" i="3"/>
  <c r="O733" i="3"/>
  <c r="O732" i="3"/>
  <c r="N732" i="3"/>
  <c r="M732" i="3"/>
  <c r="P732" i="3" s="1"/>
  <c r="L732" i="3"/>
  <c r="P731" i="3"/>
  <c r="O731" i="3"/>
  <c r="N731" i="3"/>
  <c r="M731" i="3"/>
  <c r="L731" i="3"/>
  <c r="U730" i="3"/>
  <c r="T730" i="3"/>
  <c r="S730" i="3"/>
  <c r="R730" i="3"/>
  <c r="Q730" i="3"/>
  <c r="O730" i="3"/>
  <c r="N730" i="3"/>
  <c r="N729" i="3" s="1"/>
  <c r="M730" i="3"/>
  <c r="P730" i="3" s="1"/>
  <c r="L730" i="3"/>
  <c r="O729" i="3"/>
  <c r="M729" i="3"/>
  <c r="P729" i="3" s="1"/>
  <c r="L729" i="3"/>
  <c r="J728" i="3"/>
  <c r="I728" i="3"/>
  <c r="K728" i="3" s="1"/>
  <c r="J727" i="3"/>
  <c r="I727" i="3"/>
  <c r="K727" i="3" s="1"/>
  <c r="U723" i="3"/>
  <c r="T723" i="3"/>
  <c r="P723" i="3"/>
  <c r="O723" i="3"/>
  <c r="U722" i="3"/>
  <c r="T722" i="3"/>
  <c r="P722" i="3"/>
  <c r="O722" i="3"/>
  <c r="S721" i="3"/>
  <c r="R721" i="3"/>
  <c r="U721" i="3" s="1"/>
  <c r="Q721" i="3"/>
  <c r="T721" i="3" s="1"/>
  <c r="O721" i="3"/>
  <c r="N721" i="3"/>
  <c r="M721" i="3"/>
  <c r="P721" i="3" s="1"/>
  <c r="L721" i="3"/>
  <c r="U720" i="3"/>
  <c r="T720" i="3"/>
  <c r="P720" i="3"/>
  <c r="O720" i="3"/>
  <c r="U719" i="3"/>
  <c r="T719" i="3"/>
  <c r="P719" i="3"/>
  <c r="O719" i="3"/>
  <c r="U718" i="3"/>
  <c r="S718" i="3"/>
  <c r="R718" i="3"/>
  <c r="Q718" i="3"/>
  <c r="T718" i="3" s="1"/>
  <c r="N718" i="3"/>
  <c r="M718" i="3"/>
  <c r="P718" i="3" s="1"/>
  <c r="L718" i="3"/>
  <c r="O718" i="3" s="1"/>
  <c r="U717" i="3"/>
  <c r="S717" i="3"/>
  <c r="R717" i="3"/>
  <c r="Q717" i="3"/>
  <c r="T717" i="3" s="1"/>
  <c r="P717" i="3"/>
  <c r="O717" i="3"/>
  <c r="N717" i="3"/>
  <c r="M717" i="3"/>
  <c r="L717" i="3"/>
  <c r="U716" i="3"/>
  <c r="T716" i="3"/>
  <c r="S716" i="3"/>
  <c r="R716" i="3"/>
  <c r="Q716" i="3"/>
  <c r="O716" i="3"/>
  <c r="N716" i="3"/>
  <c r="N715" i="3" s="1"/>
  <c r="M716" i="3"/>
  <c r="P716" i="3" s="1"/>
  <c r="L716" i="3"/>
  <c r="S715" i="3"/>
  <c r="R715" i="3"/>
  <c r="U715" i="3" s="1"/>
  <c r="O715" i="3"/>
  <c r="M715" i="3"/>
  <c r="P715" i="3" s="1"/>
  <c r="L715" i="3"/>
  <c r="K713" i="3"/>
  <c r="J713" i="3"/>
  <c r="K711" i="3"/>
  <c r="J711" i="3"/>
  <c r="J710" i="3"/>
  <c r="I710" i="3"/>
  <c r="K710" i="3" s="1"/>
  <c r="K709" i="3"/>
  <c r="J709" i="3"/>
  <c r="J708" i="3"/>
  <c r="J690" i="3" s="1"/>
  <c r="I708" i="3"/>
  <c r="I690" i="3" s="1"/>
  <c r="K707" i="3"/>
  <c r="J707" i="3"/>
  <c r="J706" i="3"/>
  <c r="I706" i="3"/>
  <c r="K705" i="3"/>
  <c r="J705" i="3"/>
  <c r="J704" i="3"/>
  <c r="I704" i="3"/>
  <c r="K703" i="3"/>
  <c r="I701" i="3"/>
  <c r="K701" i="3" s="1"/>
  <c r="U699" i="3"/>
  <c r="T699" i="3"/>
  <c r="P699" i="3"/>
  <c r="O699" i="3"/>
  <c r="U698" i="3"/>
  <c r="T698" i="3"/>
  <c r="P698" i="3"/>
  <c r="O698" i="3"/>
  <c r="S697" i="3"/>
  <c r="R697" i="3"/>
  <c r="U697" i="3" s="1"/>
  <c r="Q697" i="3"/>
  <c r="T697" i="3" s="1"/>
  <c r="P697" i="3"/>
  <c r="N697" i="3"/>
  <c r="M697" i="3"/>
  <c r="L697" i="3"/>
  <c r="O697" i="3" s="1"/>
  <c r="S696" i="3"/>
  <c r="S693" i="3" s="1"/>
  <c r="R696" i="3"/>
  <c r="R694" i="3" s="1"/>
  <c r="Q696" i="3"/>
  <c r="Q694" i="3" s="1"/>
  <c r="P696" i="3"/>
  <c r="O696" i="3"/>
  <c r="U695" i="3"/>
  <c r="T695" i="3"/>
  <c r="P695" i="3"/>
  <c r="O695" i="3"/>
  <c r="O694" i="3"/>
  <c r="N694" i="3"/>
  <c r="M694" i="3"/>
  <c r="P694" i="3" s="1"/>
  <c r="L694" i="3"/>
  <c r="O693" i="3"/>
  <c r="N693" i="3"/>
  <c r="M693" i="3"/>
  <c r="P693" i="3" s="1"/>
  <c r="L693" i="3"/>
  <c r="L691" i="3" s="1"/>
  <c r="O691" i="3" s="1"/>
  <c r="U692" i="3"/>
  <c r="S692" i="3"/>
  <c r="R692" i="3"/>
  <c r="Q692" i="3"/>
  <c r="T692" i="3" s="1"/>
  <c r="P692" i="3"/>
  <c r="O692" i="3"/>
  <c r="N692" i="3"/>
  <c r="M692" i="3"/>
  <c r="L692" i="3"/>
  <c r="N691" i="3"/>
  <c r="J683" i="3"/>
  <c r="I683" i="3"/>
  <c r="K683" i="3" s="1"/>
  <c r="J682" i="3"/>
  <c r="I682" i="3"/>
  <c r="K682" i="3" s="1"/>
  <c r="J681" i="3"/>
  <c r="J680" i="3"/>
  <c r="I680" i="3"/>
  <c r="K680" i="3" s="1"/>
  <c r="J679" i="3"/>
  <c r="I679" i="3"/>
  <c r="K679" i="3" s="1"/>
  <c r="J678" i="3"/>
  <c r="J677" i="3"/>
  <c r="I677" i="3"/>
  <c r="K677" i="3" s="1"/>
  <c r="I676" i="3"/>
  <c r="K676" i="3" s="1"/>
  <c r="I675" i="3"/>
  <c r="K675" i="3" s="1"/>
  <c r="J674" i="3"/>
  <c r="I674" i="3"/>
  <c r="K674" i="3" s="1"/>
  <c r="J673" i="3"/>
  <c r="J672" i="3"/>
  <c r="J662" i="3"/>
  <c r="I662" i="3"/>
  <c r="K662" i="3" s="1"/>
  <c r="I661" i="3"/>
  <c r="I658" i="3"/>
  <c r="J655" i="3"/>
  <c r="I655" i="3"/>
  <c r="K655" i="3" s="1"/>
  <c r="J654" i="3"/>
  <c r="I654" i="3"/>
  <c r="K654" i="3" s="1"/>
  <c r="J653" i="3"/>
  <c r="I653" i="3"/>
  <c r="K653" i="3" s="1"/>
  <c r="U651" i="3"/>
  <c r="T651" i="3"/>
  <c r="P651" i="3"/>
  <c r="O651" i="3"/>
  <c r="U650" i="3"/>
  <c r="T650" i="3"/>
  <c r="P650" i="3"/>
  <c r="O650" i="3"/>
  <c r="S649" i="3"/>
  <c r="R649" i="3"/>
  <c r="U649" i="3" s="1"/>
  <c r="Q649" i="3"/>
  <c r="T649" i="3" s="1"/>
  <c r="P649" i="3"/>
  <c r="N649" i="3"/>
  <c r="M649" i="3"/>
  <c r="L649" i="3"/>
  <c r="O649" i="3" s="1"/>
  <c r="S648" i="3"/>
  <c r="S646" i="3" s="1"/>
  <c r="R648" i="3"/>
  <c r="R646" i="3" s="1"/>
  <c r="U646" i="3" s="1"/>
  <c r="Q648" i="3"/>
  <c r="Q646" i="3" s="1"/>
  <c r="T646" i="3" s="1"/>
  <c r="P648" i="3"/>
  <c r="O648" i="3"/>
  <c r="U647" i="3"/>
  <c r="T647" i="3"/>
  <c r="P647" i="3"/>
  <c r="O647" i="3"/>
  <c r="O646" i="3"/>
  <c r="N646" i="3"/>
  <c r="M646" i="3"/>
  <c r="P646" i="3" s="1"/>
  <c r="L646" i="3"/>
  <c r="O645" i="3"/>
  <c r="N645" i="3"/>
  <c r="M645" i="3"/>
  <c r="P645" i="3" s="1"/>
  <c r="L645" i="3"/>
  <c r="L643" i="3" s="1"/>
  <c r="O643" i="3" s="1"/>
  <c r="U644" i="3"/>
  <c r="S644" i="3"/>
  <c r="R644" i="3"/>
  <c r="Q644" i="3"/>
  <c r="T644" i="3" s="1"/>
  <c r="P644" i="3"/>
  <c r="O644" i="3"/>
  <c r="N644" i="3"/>
  <c r="M644" i="3"/>
  <c r="L644" i="3"/>
  <c r="N643" i="3"/>
  <c r="J637" i="3"/>
  <c r="J636" i="3" s="1"/>
  <c r="I636" i="3"/>
  <c r="K636" i="3" s="1"/>
  <c r="J633" i="3"/>
  <c r="I629" i="3"/>
  <c r="K629" i="3" s="1"/>
  <c r="I628" i="3"/>
  <c r="K628" i="3" s="1"/>
  <c r="J627" i="3"/>
  <c r="I627" i="3"/>
  <c r="K630" i="3" s="1"/>
  <c r="U625" i="3"/>
  <c r="T625" i="3"/>
  <c r="P625" i="3"/>
  <c r="O625" i="3"/>
  <c r="U624" i="3"/>
  <c r="T624" i="3"/>
  <c r="P624" i="3"/>
  <c r="O624" i="3"/>
  <c r="U623" i="3"/>
  <c r="S623" i="3"/>
  <c r="R623" i="3"/>
  <c r="Q623" i="3"/>
  <c r="T623" i="3" s="1"/>
  <c r="N623" i="3"/>
  <c r="M623" i="3"/>
  <c r="P623" i="3" s="1"/>
  <c r="L623" i="3"/>
  <c r="O623" i="3" s="1"/>
  <c r="S622" i="3"/>
  <c r="S619" i="3" s="1"/>
  <c r="S617" i="3" s="1"/>
  <c r="R622" i="3"/>
  <c r="R619" i="3" s="1"/>
  <c r="Q622" i="3"/>
  <c r="P622" i="3"/>
  <c r="O622" i="3"/>
  <c r="U621" i="3"/>
  <c r="T621" i="3"/>
  <c r="P621" i="3"/>
  <c r="O621" i="3"/>
  <c r="P620" i="3"/>
  <c r="N620" i="3"/>
  <c r="M620" i="3"/>
  <c r="L620" i="3"/>
  <c r="O620" i="3" s="1"/>
  <c r="N619" i="3"/>
  <c r="M619" i="3"/>
  <c r="L619" i="3"/>
  <c r="O619" i="3" s="1"/>
  <c r="T618" i="3"/>
  <c r="S618" i="3"/>
  <c r="R618" i="3"/>
  <c r="U618" i="3" s="1"/>
  <c r="Q618" i="3"/>
  <c r="P618" i="3"/>
  <c r="N618" i="3"/>
  <c r="N617" i="3" s="1"/>
  <c r="M618" i="3"/>
  <c r="L618" i="3"/>
  <c r="O618" i="3" s="1"/>
  <c r="L617" i="3"/>
  <c r="O617" i="3" s="1"/>
  <c r="J616" i="3"/>
  <c r="U608" i="3"/>
  <c r="T608" i="3"/>
  <c r="P608" i="3"/>
  <c r="O608" i="3"/>
  <c r="U607" i="3"/>
  <c r="T607" i="3"/>
  <c r="P607" i="3"/>
  <c r="O607" i="3"/>
  <c r="U606" i="3"/>
  <c r="S606" i="3"/>
  <c r="R606" i="3"/>
  <c r="Q606" i="3"/>
  <c r="T606" i="3" s="1"/>
  <c r="N606" i="3"/>
  <c r="M606" i="3"/>
  <c r="P606" i="3" s="1"/>
  <c r="L606" i="3"/>
  <c r="O606" i="3" s="1"/>
  <c r="U605" i="3"/>
  <c r="T605" i="3"/>
  <c r="P605" i="3"/>
  <c r="O605" i="3"/>
  <c r="U604" i="3"/>
  <c r="T604" i="3"/>
  <c r="P604" i="3"/>
  <c r="O604" i="3"/>
  <c r="S603" i="3"/>
  <c r="R603" i="3"/>
  <c r="U603" i="3" s="1"/>
  <c r="Q603" i="3"/>
  <c r="T603" i="3" s="1"/>
  <c r="N603" i="3"/>
  <c r="M603" i="3"/>
  <c r="P603" i="3" s="1"/>
  <c r="L603" i="3"/>
  <c r="O603" i="3" s="1"/>
  <c r="U602" i="3"/>
  <c r="S602" i="3"/>
  <c r="R602" i="3"/>
  <c r="Q602" i="3"/>
  <c r="T602" i="3" s="1"/>
  <c r="O602" i="3"/>
  <c r="N602" i="3"/>
  <c r="M602" i="3"/>
  <c r="P602" i="3" s="1"/>
  <c r="L602" i="3"/>
  <c r="U601" i="3"/>
  <c r="S601" i="3"/>
  <c r="R601" i="3"/>
  <c r="Q601" i="3"/>
  <c r="Q600" i="3" s="1"/>
  <c r="T600" i="3" s="1"/>
  <c r="O601" i="3"/>
  <c r="N601" i="3"/>
  <c r="N600" i="3" s="1"/>
  <c r="M601" i="3"/>
  <c r="P601" i="3" s="1"/>
  <c r="L601" i="3"/>
  <c r="U600" i="3"/>
  <c r="S600" i="3"/>
  <c r="R600" i="3"/>
  <c r="L600" i="3"/>
  <c r="O600" i="3" s="1"/>
  <c r="U585" i="3"/>
  <c r="T585" i="3"/>
  <c r="P585" i="3"/>
  <c r="O585" i="3"/>
  <c r="U584" i="3"/>
  <c r="T584" i="3"/>
  <c r="P584" i="3"/>
  <c r="O584" i="3"/>
  <c r="U583" i="3"/>
  <c r="S583" i="3"/>
  <c r="R583" i="3"/>
  <c r="Q583" i="3"/>
  <c r="T583" i="3" s="1"/>
  <c r="O583" i="3"/>
  <c r="N583" i="3"/>
  <c r="M583" i="3"/>
  <c r="P583" i="3" s="1"/>
  <c r="L583" i="3"/>
  <c r="U582" i="3"/>
  <c r="T582" i="3"/>
  <c r="P582" i="3"/>
  <c r="O582" i="3"/>
  <c r="U581" i="3"/>
  <c r="T581" i="3"/>
  <c r="P581" i="3"/>
  <c r="O581" i="3"/>
  <c r="U580" i="3"/>
  <c r="S580" i="3"/>
  <c r="R580" i="3"/>
  <c r="Q580" i="3"/>
  <c r="T580" i="3" s="1"/>
  <c r="N580" i="3"/>
  <c r="M580" i="3"/>
  <c r="P580" i="3" s="1"/>
  <c r="L580" i="3"/>
  <c r="O580" i="3" s="1"/>
  <c r="U579" i="3"/>
  <c r="S579" i="3"/>
  <c r="R579" i="3"/>
  <c r="Q579" i="3"/>
  <c r="T579" i="3" s="1"/>
  <c r="P579" i="3"/>
  <c r="O579" i="3"/>
  <c r="N579" i="3"/>
  <c r="M579" i="3"/>
  <c r="L579" i="3"/>
  <c r="U578" i="3"/>
  <c r="T578" i="3"/>
  <c r="S578" i="3"/>
  <c r="R578" i="3"/>
  <c r="Q578" i="3"/>
  <c r="O578" i="3"/>
  <c r="N578" i="3"/>
  <c r="N577" i="3" s="1"/>
  <c r="M578" i="3"/>
  <c r="P578" i="3" s="1"/>
  <c r="L578" i="3"/>
  <c r="U577" i="3"/>
  <c r="S577" i="3"/>
  <c r="R577" i="3"/>
  <c r="O577" i="3"/>
  <c r="M577" i="3"/>
  <c r="P577" i="3" s="1"/>
  <c r="L577" i="3"/>
  <c r="J576" i="3"/>
  <c r="I576" i="3"/>
  <c r="K576" i="3" s="1"/>
  <c r="U564" i="3"/>
  <c r="T564" i="3"/>
  <c r="P564" i="3"/>
  <c r="O564" i="3"/>
  <c r="U563" i="3"/>
  <c r="T563" i="3"/>
  <c r="P563" i="3"/>
  <c r="O563" i="3"/>
  <c r="U562" i="3"/>
  <c r="T562" i="3"/>
  <c r="S562" i="3"/>
  <c r="R562" i="3"/>
  <c r="Q562" i="3"/>
  <c r="P562" i="3"/>
  <c r="O562" i="3"/>
  <c r="N562" i="3"/>
  <c r="M562" i="3"/>
  <c r="L562" i="3"/>
  <c r="U561" i="3"/>
  <c r="T561" i="3"/>
  <c r="P561" i="3"/>
  <c r="O561" i="3"/>
  <c r="U560" i="3"/>
  <c r="T560" i="3"/>
  <c r="P560" i="3"/>
  <c r="O560" i="3"/>
  <c r="U559" i="3"/>
  <c r="T559" i="3"/>
  <c r="S559" i="3"/>
  <c r="R559" i="3"/>
  <c r="Q559" i="3"/>
  <c r="P559" i="3"/>
  <c r="O559" i="3"/>
  <c r="N559" i="3"/>
  <c r="M559" i="3"/>
  <c r="L559" i="3"/>
  <c r="T558" i="3"/>
  <c r="S558" i="3"/>
  <c r="S556" i="3" s="1"/>
  <c r="R558" i="3"/>
  <c r="U558" i="3" s="1"/>
  <c r="Q558" i="3"/>
  <c r="P558" i="3"/>
  <c r="N558" i="3"/>
  <c r="M558" i="3"/>
  <c r="M556" i="3" s="1"/>
  <c r="L558" i="3"/>
  <c r="O558" i="3" s="1"/>
  <c r="T557" i="3"/>
  <c r="S557" i="3"/>
  <c r="R557" i="3"/>
  <c r="U557" i="3" s="1"/>
  <c r="Q557" i="3"/>
  <c r="Q556" i="3" s="1"/>
  <c r="T556" i="3" s="1"/>
  <c r="P557" i="3"/>
  <c r="N557" i="3"/>
  <c r="N556" i="3" s="1"/>
  <c r="M557" i="3"/>
  <c r="L557" i="3"/>
  <c r="O557" i="3" s="1"/>
  <c r="R556" i="3"/>
  <c r="U556" i="3" s="1"/>
  <c r="P556" i="3"/>
  <c r="J555" i="3"/>
  <c r="I555" i="3"/>
  <c r="K555" i="3" s="1"/>
  <c r="U543" i="3"/>
  <c r="T543" i="3"/>
  <c r="P543" i="3"/>
  <c r="O543" i="3"/>
  <c r="U542" i="3"/>
  <c r="T542" i="3"/>
  <c r="P542" i="3"/>
  <c r="O542" i="3"/>
  <c r="U541" i="3"/>
  <c r="S541" i="3"/>
  <c r="R541" i="3"/>
  <c r="Q541" i="3"/>
  <c r="T541" i="3" s="1"/>
  <c r="N541" i="3"/>
  <c r="M541" i="3"/>
  <c r="P541" i="3" s="1"/>
  <c r="L541" i="3"/>
  <c r="O541" i="3" s="1"/>
  <c r="U540" i="3"/>
  <c r="T540" i="3"/>
  <c r="P540" i="3"/>
  <c r="O540" i="3"/>
  <c r="U539" i="3"/>
  <c r="T539" i="3"/>
  <c r="P539" i="3"/>
  <c r="O539" i="3"/>
  <c r="S538" i="3"/>
  <c r="R538" i="3"/>
  <c r="U538" i="3" s="1"/>
  <c r="Q538" i="3"/>
  <c r="T538" i="3" s="1"/>
  <c r="O538" i="3"/>
  <c r="N538" i="3"/>
  <c r="M538" i="3"/>
  <c r="P538" i="3" s="1"/>
  <c r="L538" i="3"/>
  <c r="U537" i="3"/>
  <c r="S537" i="3"/>
  <c r="R537" i="3"/>
  <c r="Q537" i="3"/>
  <c r="T537" i="3" s="1"/>
  <c r="O537" i="3"/>
  <c r="N537" i="3"/>
  <c r="M537" i="3"/>
  <c r="P537" i="3" s="1"/>
  <c r="L537" i="3"/>
  <c r="U536" i="3"/>
  <c r="S536" i="3"/>
  <c r="R536" i="3"/>
  <c r="Q536" i="3"/>
  <c r="Q535" i="3" s="1"/>
  <c r="T535" i="3" s="1"/>
  <c r="O536" i="3"/>
  <c r="N536" i="3"/>
  <c r="N535" i="3" s="1"/>
  <c r="M536" i="3"/>
  <c r="P536" i="3" s="1"/>
  <c r="L536" i="3"/>
  <c r="U535" i="3"/>
  <c r="S535" i="3"/>
  <c r="R535" i="3"/>
  <c r="O535" i="3"/>
  <c r="L535" i="3"/>
  <c r="J534" i="3"/>
  <c r="I534" i="3"/>
  <c r="K534" i="3" s="1"/>
  <c r="K525" i="3"/>
  <c r="K524" i="3"/>
  <c r="U522" i="3"/>
  <c r="T522" i="3"/>
  <c r="N522" i="3"/>
  <c r="N520" i="3" s="1"/>
  <c r="M522" i="3"/>
  <c r="L522" i="3"/>
  <c r="L520" i="3" s="1"/>
  <c r="O520" i="3" s="1"/>
  <c r="U521" i="3"/>
  <c r="T521" i="3"/>
  <c r="P521" i="3"/>
  <c r="O521" i="3"/>
  <c r="U520" i="3"/>
  <c r="S520" i="3"/>
  <c r="R520" i="3"/>
  <c r="Q520" i="3"/>
  <c r="T520" i="3" s="1"/>
  <c r="U519" i="3"/>
  <c r="T519" i="3"/>
  <c r="N519" i="3"/>
  <c r="M519" i="3"/>
  <c r="P519" i="3" s="1"/>
  <c r="L519" i="3"/>
  <c r="L517" i="3" s="1"/>
  <c r="O517" i="3" s="1"/>
  <c r="U518" i="3"/>
  <c r="T518" i="3"/>
  <c r="P518" i="3"/>
  <c r="O518" i="3"/>
  <c r="T517" i="3"/>
  <c r="S517" i="3"/>
  <c r="R517" i="3"/>
  <c r="U517" i="3" s="1"/>
  <c r="Q517" i="3"/>
  <c r="T516" i="3"/>
  <c r="S516" i="3"/>
  <c r="R516" i="3"/>
  <c r="U516" i="3" s="1"/>
  <c r="Q516" i="3"/>
  <c r="T515" i="3"/>
  <c r="S515" i="3"/>
  <c r="S514" i="3" s="1"/>
  <c r="R515" i="3"/>
  <c r="U515" i="3" s="1"/>
  <c r="Q515" i="3"/>
  <c r="N515" i="3"/>
  <c r="M515" i="3"/>
  <c r="P515" i="3" s="1"/>
  <c r="L515" i="3"/>
  <c r="O515" i="3" s="1"/>
  <c r="T514" i="3"/>
  <c r="Q514" i="3"/>
  <c r="K513" i="3"/>
  <c r="J513" i="3"/>
  <c r="I513" i="3"/>
  <c r="I510" i="3"/>
  <c r="K510" i="3" s="1"/>
  <c r="K509" i="3"/>
  <c r="I508" i="3"/>
  <c r="K508" i="3" s="1"/>
  <c r="I507" i="3"/>
  <c r="K507" i="3" s="1"/>
  <c r="I506" i="3"/>
  <c r="K506" i="3" s="1"/>
  <c r="I505" i="3"/>
  <c r="K505" i="3" s="1"/>
  <c r="I504" i="3"/>
  <c r="K504" i="3" s="1"/>
  <c r="U502" i="3"/>
  <c r="T502" i="3"/>
  <c r="P502" i="3"/>
  <c r="O502" i="3"/>
  <c r="U501" i="3"/>
  <c r="T501" i="3"/>
  <c r="P501" i="3"/>
  <c r="O501" i="3"/>
  <c r="S500" i="3"/>
  <c r="R500" i="3"/>
  <c r="U500" i="3" s="1"/>
  <c r="Q500" i="3"/>
  <c r="T500" i="3" s="1"/>
  <c r="P500" i="3"/>
  <c r="N500" i="3"/>
  <c r="M500" i="3"/>
  <c r="L500" i="3"/>
  <c r="O500" i="3" s="1"/>
  <c r="S499" i="3"/>
  <c r="R499" i="3"/>
  <c r="R496" i="3" s="1"/>
  <c r="U496" i="3" s="1"/>
  <c r="Q499" i="3"/>
  <c r="Q497" i="3" s="1"/>
  <c r="T497" i="3" s="1"/>
  <c r="P499" i="3"/>
  <c r="O499" i="3"/>
  <c r="U498" i="3"/>
  <c r="T498" i="3"/>
  <c r="P498" i="3"/>
  <c r="O498" i="3"/>
  <c r="P497" i="3"/>
  <c r="N497" i="3"/>
  <c r="M497" i="3"/>
  <c r="L497" i="3"/>
  <c r="O497" i="3" s="1"/>
  <c r="N496" i="3"/>
  <c r="M496" i="3"/>
  <c r="P496" i="3" s="1"/>
  <c r="L496" i="3"/>
  <c r="O496" i="3" s="1"/>
  <c r="U495" i="3"/>
  <c r="S495" i="3"/>
  <c r="R495" i="3"/>
  <c r="Q495" i="3"/>
  <c r="T495" i="3" s="1"/>
  <c r="P495" i="3"/>
  <c r="O495" i="3"/>
  <c r="N495" i="3"/>
  <c r="M495" i="3"/>
  <c r="L495" i="3"/>
  <c r="P494" i="3"/>
  <c r="N494" i="3"/>
  <c r="M494" i="3"/>
  <c r="K486" i="3"/>
  <c r="J486" i="3"/>
  <c r="I486" i="3"/>
  <c r="K485" i="3"/>
  <c r="J485" i="3"/>
  <c r="I485" i="3"/>
  <c r="J484" i="3"/>
  <c r="J483" i="3"/>
  <c r="K478" i="3"/>
  <c r="J478" i="3"/>
  <c r="K477" i="3"/>
  <c r="J477" i="3"/>
  <c r="K476" i="3"/>
  <c r="J476" i="3"/>
  <c r="J469" i="3"/>
  <c r="J468" i="3"/>
  <c r="J461" i="3"/>
  <c r="J460" i="3"/>
  <c r="J459" i="3"/>
  <c r="I459" i="3"/>
  <c r="K459" i="3" s="1"/>
  <c r="J458" i="3"/>
  <c r="I458" i="3"/>
  <c r="K458" i="3" s="1"/>
  <c r="J457" i="3"/>
  <c r="J448" i="3"/>
  <c r="J447" i="3"/>
  <c r="J441" i="3" s="1"/>
  <c r="J442" i="3"/>
  <c r="I442" i="3"/>
  <c r="K442" i="3" s="1"/>
  <c r="I441" i="3"/>
  <c r="K441" i="3" s="1"/>
  <c r="J434" i="3"/>
  <c r="I434" i="3"/>
  <c r="K434" i="3" s="1"/>
  <c r="J433" i="3"/>
  <c r="I433" i="3"/>
  <c r="K433" i="3" s="1"/>
  <c r="J426" i="3"/>
  <c r="I426" i="3"/>
  <c r="K426" i="3" s="1"/>
  <c r="J425" i="3"/>
  <c r="I425" i="3"/>
  <c r="K425" i="3" s="1"/>
  <c r="J424" i="3"/>
  <c r="U422" i="3"/>
  <c r="T422" i="3"/>
  <c r="P422" i="3"/>
  <c r="O422" i="3"/>
  <c r="U421" i="3"/>
  <c r="T421" i="3"/>
  <c r="P421" i="3"/>
  <c r="O421" i="3"/>
  <c r="U420" i="3"/>
  <c r="S420" i="3"/>
  <c r="R420" i="3"/>
  <c r="Q420" i="3"/>
  <c r="T420" i="3" s="1"/>
  <c r="O420" i="3"/>
  <c r="N420" i="3"/>
  <c r="M420" i="3"/>
  <c r="P420" i="3" s="1"/>
  <c r="L420" i="3"/>
  <c r="S419" i="3"/>
  <c r="S417" i="3" s="1"/>
  <c r="R419" i="3"/>
  <c r="U419" i="3" s="1"/>
  <c r="Q419" i="3"/>
  <c r="P419" i="3"/>
  <c r="O419" i="3"/>
  <c r="U418" i="3"/>
  <c r="T418" i="3"/>
  <c r="P418" i="3"/>
  <c r="O418" i="3"/>
  <c r="P417" i="3"/>
  <c r="N417" i="3"/>
  <c r="M417" i="3"/>
  <c r="L417" i="3"/>
  <c r="O417" i="3" s="1"/>
  <c r="P416" i="3"/>
  <c r="O416" i="3"/>
  <c r="N416" i="3"/>
  <c r="M416" i="3"/>
  <c r="M414" i="3" s="1"/>
  <c r="P414" i="3" s="1"/>
  <c r="L416" i="3"/>
  <c r="S415" i="3"/>
  <c r="R415" i="3"/>
  <c r="U415" i="3" s="1"/>
  <c r="Q415" i="3"/>
  <c r="T415" i="3" s="1"/>
  <c r="N415" i="3"/>
  <c r="M415" i="3"/>
  <c r="P415" i="3" s="1"/>
  <c r="L415" i="3"/>
  <c r="O415" i="3" s="1"/>
  <c r="L414" i="3"/>
  <c r="O414" i="3" s="1"/>
  <c r="J413" i="3"/>
  <c r="U401" i="3"/>
  <c r="T401" i="3"/>
  <c r="P401" i="3"/>
  <c r="O401" i="3"/>
  <c r="U400" i="3"/>
  <c r="T400" i="3"/>
  <c r="P400" i="3"/>
  <c r="O400" i="3"/>
  <c r="T399" i="3"/>
  <c r="S399" i="3"/>
  <c r="R399" i="3"/>
  <c r="U399" i="3" s="1"/>
  <c r="Q399" i="3"/>
  <c r="N399" i="3"/>
  <c r="M399" i="3"/>
  <c r="P399" i="3" s="1"/>
  <c r="L399" i="3"/>
  <c r="O399" i="3" s="1"/>
  <c r="U398" i="3"/>
  <c r="T398" i="3"/>
  <c r="P398" i="3"/>
  <c r="O398" i="3"/>
  <c r="U397" i="3"/>
  <c r="T397" i="3"/>
  <c r="P397" i="3"/>
  <c r="O397" i="3"/>
  <c r="T396" i="3"/>
  <c r="S396" i="3"/>
  <c r="R396" i="3"/>
  <c r="U396" i="3" s="1"/>
  <c r="Q396" i="3"/>
  <c r="N396" i="3"/>
  <c r="M396" i="3"/>
  <c r="P396" i="3" s="1"/>
  <c r="L396" i="3"/>
  <c r="O396" i="3" s="1"/>
  <c r="S395" i="3"/>
  <c r="R395" i="3"/>
  <c r="U395" i="3" s="1"/>
  <c r="Q395" i="3"/>
  <c r="T395" i="3" s="1"/>
  <c r="P395" i="3"/>
  <c r="N395" i="3"/>
  <c r="M395" i="3"/>
  <c r="L395" i="3"/>
  <c r="O395" i="3" s="1"/>
  <c r="T394" i="3"/>
  <c r="S394" i="3"/>
  <c r="R394" i="3"/>
  <c r="U394" i="3" s="1"/>
  <c r="Q394" i="3"/>
  <c r="P394" i="3"/>
  <c r="N394" i="3"/>
  <c r="N393" i="3" s="1"/>
  <c r="M394" i="3"/>
  <c r="L394" i="3"/>
  <c r="L393" i="3" s="1"/>
  <c r="O393" i="3" s="1"/>
  <c r="S393" i="3"/>
  <c r="P393" i="3"/>
  <c r="M393" i="3"/>
  <c r="J392" i="3"/>
  <c r="I392" i="3"/>
  <c r="K392" i="3" s="1"/>
  <c r="J389" i="3"/>
  <c r="I389" i="3"/>
  <c r="K389" i="3" s="1"/>
  <c r="K388" i="3"/>
  <c r="J388" i="3"/>
  <c r="J387" i="3"/>
  <c r="I387" i="3"/>
  <c r="K386" i="3"/>
  <c r="J386" i="3"/>
  <c r="U384" i="3"/>
  <c r="T384" i="3"/>
  <c r="P384" i="3"/>
  <c r="O384" i="3"/>
  <c r="U383" i="3"/>
  <c r="T383" i="3"/>
  <c r="P383" i="3"/>
  <c r="O383" i="3"/>
  <c r="U382" i="3"/>
  <c r="T382" i="3"/>
  <c r="S382" i="3"/>
  <c r="R382" i="3"/>
  <c r="Q382" i="3"/>
  <c r="N382" i="3"/>
  <c r="M382" i="3"/>
  <c r="P382" i="3" s="1"/>
  <c r="L382" i="3"/>
  <c r="O382" i="3" s="1"/>
  <c r="S381" i="3"/>
  <c r="S378" i="3" s="1"/>
  <c r="R381" i="3"/>
  <c r="R379" i="3" s="1"/>
  <c r="U379" i="3" s="1"/>
  <c r="Q381" i="3"/>
  <c r="Q378" i="3" s="1"/>
  <c r="P381" i="3"/>
  <c r="O381" i="3"/>
  <c r="U380" i="3"/>
  <c r="T380" i="3"/>
  <c r="P380" i="3"/>
  <c r="O380" i="3"/>
  <c r="N379" i="3"/>
  <c r="M379" i="3"/>
  <c r="P379" i="3" s="1"/>
  <c r="L379" i="3"/>
  <c r="O379" i="3" s="1"/>
  <c r="O378" i="3"/>
  <c r="N378" i="3"/>
  <c r="N376" i="3" s="1"/>
  <c r="M378" i="3"/>
  <c r="P378" i="3" s="1"/>
  <c r="L378" i="3"/>
  <c r="S377" i="3"/>
  <c r="R377" i="3"/>
  <c r="Q377" i="3"/>
  <c r="T377" i="3" s="1"/>
  <c r="N377" i="3"/>
  <c r="M377" i="3"/>
  <c r="L377" i="3"/>
  <c r="L376" i="3" s="1"/>
  <c r="O376" i="3" s="1"/>
  <c r="D374" i="3"/>
  <c r="K373" i="3"/>
  <c r="J373" i="3"/>
  <c r="J372" i="3"/>
  <c r="J366" i="3" s="1"/>
  <c r="I372" i="3"/>
  <c r="K371" i="3"/>
  <c r="J371" i="3"/>
  <c r="J370" i="3"/>
  <c r="I370" i="3"/>
  <c r="J369" i="3"/>
  <c r="I369" i="3"/>
  <c r="K368" i="3"/>
  <c r="J368" i="3"/>
  <c r="U365" i="3"/>
  <c r="T365" i="3"/>
  <c r="N365" i="3"/>
  <c r="M365" i="3"/>
  <c r="M363" i="3" s="1"/>
  <c r="P363" i="3" s="1"/>
  <c r="L365" i="3"/>
  <c r="L363" i="3" s="1"/>
  <c r="O363" i="3" s="1"/>
  <c r="U364" i="3"/>
  <c r="T364" i="3"/>
  <c r="P364" i="3"/>
  <c r="O364" i="3"/>
  <c r="U363" i="3"/>
  <c r="T363" i="3"/>
  <c r="S363" i="3"/>
  <c r="R363" i="3"/>
  <c r="Q363" i="3"/>
  <c r="U362" i="3"/>
  <c r="T362" i="3"/>
  <c r="N362" i="3"/>
  <c r="N360" i="3" s="1"/>
  <c r="M362" i="3"/>
  <c r="M360" i="3" s="1"/>
  <c r="L362" i="3"/>
  <c r="U361" i="3"/>
  <c r="T361" i="3"/>
  <c r="P361" i="3"/>
  <c r="O361" i="3"/>
  <c r="S360" i="3"/>
  <c r="R360" i="3"/>
  <c r="U360" i="3" s="1"/>
  <c r="Q360" i="3"/>
  <c r="T360" i="3" s="1"/>
  <c r="U359" i="3"/>
  <c r="S359" i="3"/>
  <c r="R359" i="3"/>
  <c r="Q359" i="3"/>
  <c r="U358" i="3"/>
  <c r="T358" i="3"/>
  <c r="S358" i="3"/>
  <c r="R358" i="3"/>
  <c r="Q358" i="3"/>
  <c r="O358" i="3"/>
  <c r="N358" i="3"/>
  <c r="M358" i="3"/>
  <c r="P358" i="3" s="1"/>
  <c r="L358" i="3"/>
  <c r="S357" i="3"/>
  <c r="R357" i="3"/>
  <c r="U357" i="3" s="1"/>
  <c r="D355" i="3"/>
  <c r="J354" i="3"/>
  <c r="J353" i="3"/>
  <c r="D351" i="3"/>
  <c r="J350" i="3"/>
  <c r="J349" i="3"/>
  <c r="J348" i="3"/>
  <c r="J347" i="3"/>
  <c r="I347" i="3"/>
  <c r="J345" i="3"/>
  <c r="I345" i="3"/>
  <c r="I333" i="3" s="1"/>
  <c r="U342" i="3"/>
  <c r="T342" i="3"/>
  <c r="N342" i="3"/>
  <c r="N340" i="3" s="1"/>
  <c r="M342" i="3"/>
  <c r="M340" i="3" s="1"/>
  <c r="P340" i="3" s="1"/>
  <c r="L342" i="3"/>
  <c r="O342" i="3" s="1"/>
  <c r="U341" i="3"/>
  <c r="T341" i="3"/>
  <c r="P341" i="3"/>
  <c r="O341" i="3"/>
  <c r="S340" i="3"/>
  <c r="R340" i="3"/>
  <c r="U340" i="3" s="1"/>
  <c r="Q340" i="3"/>
  <c r="T340" i="3" s="1"/>
  <c r="U339" i="3"/>
  <c r="T339" i="3"/>
  <c r="N339" i="3"/>
  <c r="N337" i="3" s="1"/>
  <c r="M339" i="3"/>
  <c r="M337" i="3" s="1"/>
  <c r="L339" i="3"/>
  <c r="U338" i="3"/>
  <c r="T338" i="3"/>
  <c r="P338" i="3"/>
  <c r="O338" i="3"/>
  <c r="U337" i="3"/>
  <c r="T337" i="3"/>
  <c r="S337" i="3"/>
  <c r="R337" i="3"/>
  <c r="Q337" i="3"/>
  <c r="T336" i="3"/>
  <c r="S336" i="3"/>
  <c r="R336" i="3"/>
  <c r="U336" i="3" s="1"/>
  <c r="Q336" i="3"/>
  <c r="S335" i="3"/>
  <c r="S334" i="3" s="1"/>
  <c r="R335" i="3"/>
  <c r="Q335" i="3"/>
  <c r="T335" i="3" s="1"/>
  <c r="P335" i="3"/>
  <c r="N335" i="3"/>
  <c r="M335" i="3"/>
  <c r="L335" i="3"/>
  <c r="I331" i="3"/>
  <c r="I320" i="3" s="1"/>
  <c r="K320" i="3" s="1"/>
  <c r="U329" i="3"/>
  <c r="T329" i="3"/>
  <c r="N329" i="3"/>
  <c r="M329" i="3"/>
  <c r="L329" i="3"/>
  <c r="O329" i="3" s="1"/>
  <c r="U328" i="3"/>
  <c r="T328" i="3"/>
  <c r="P328" i="3"/>
  <c r="O328" i="3"/>
  <c r="S327" i="3"/>
  <c r="R327" i="3"/>
  <c r="U327" i="3" s="1"/>
  <c r="Q327" i="3"/>
  <c r="T327" i="3" s="1"/>
  <c r="U326" i="3"/>
  <c r="T326" i="3"/>
  <c r="N326" i="3"/>
  <c r="N324" i="3" s="1"/>
  <c r="M326" i="3"/>
  <c r="P326" i="3" s="1"/>
  <c r="L326" i="3"/>
  <c r="L324" i="3" s="1"/>
  <c r="O324" i="3" s="1"/>
  <c r="U325" i="3"/>
  <c r="T325" i="3"/>
  <c r="P325" i="3"/>
  <c r="O325" i="3"/>
  <c r="U324" i="3"/>
  <c r="T324" i="3"/>
  <c r="S324" i="3"/>
  <c r="R324" i="3"/>
  <c r="Q324" i="3"/>
  <c r="S323" i="3"/>
  <c r="R323" i="3"/>
  <c r="R321" i="3" s="1"/>
  <c r="U321" i="3" s="1"/>
  <c r="Q323" i="3"/>
  <c r="T323" i="3" s="1"/>
  <c r="U322" i="3"/>
  <c r="S322" i="3"/>
  <c r="R322" i="3"/>
  <c r="Q322" i="3"/>
  <c r="P322" i="3"/>
  <c r="O322" i="3"/>
  <c r="N322" i="3"/>
  <c r="M322" i="3"/>
  <c r="L322" i="3"/>
  <c r="S321" i="3"/>
  <c r="J320" i="3"/>
  <c r="I315" i="3"/>
  <c r="K315" i="3" s="1"/>
  <c r="U312" i="3"/>
  <c r="T312" i="3"/>
  <c r="N312" i="3"/>
  <c r="N310" i="3" s="1"/>
  <c r="M312" i="3"/>
  <c r="L312" i="3"/>
  <c r="U311" i="3"/>
  <c r="T311" i="3"/>
  <c r="P311" i="3"/>
  <c r="O311" i="3"/>
  <c r="U310" i="3"/>
  <c r="S310" i="3"/>
  <c r="R310" i="3"/>
  <c r="Q310" i="3"/>
  <c r="T310" i="3" s="1"/>
  <c r="S309" i="3"/>
  <c r="S306" i="3" s="1"/>
  <c r="R309" i="3"/>
  <c r="R306" i="3" s="1"/>
  <c r="Q309" i="3"/>
  <c r="N309" i="3"/>
  <c r="N307" i="3" s="1"/>
  <c r="M309" i="3"/>
  <c r="L309" i="3"/>
  <c r="L307" i="3" s="1"/>
  <c r="U308" i="3"/>
  <c r="T308" i="3"/>
  <c r="P308" i="3"/>
  <c r="O308" i="3"/>
  <c r="S305" i="3"/>
  <c r="R305" i="3"/>
  <c r="U305" i="3" s="1"/>
  <c r="Q305" i="3"/>
  <c r="T305" i="3" s="1"/>
  <c r="N305" i="3"/>
  <c r="M305" i="3"/>
  <c r="L305" i="3"/>
  <c r="O305" i="3" s="1"/>
  <c r="J303" i="3"/>
  <c r="I297" i="3"/>
  <c r="K297" i="3" s="1"/>
  <c r="I296" i="3"/>
  <c r="K296" i="3" s="1"/>
  <c r="J294" i="3"/>
  <c r="I294" i="3"/>
  <c r="I281" i="3" s="1"/>
  <c r="I293" i="3"/>
  <c r="K293" i="3" s="1"/>
  <c r="U291" i="3"/>
  <c r="T291" i="3"/>
  <c r="N291" i="3"/>
  <c r="N289" i="3" s="1"/>
  <c r="M291" i="3"/>
  <c r="L291" i="3"/>
  <c r="U290" i="3"/>
  <c r="T290" i="3"/>
  <c r="P290" i="3"/>
  <c r="O290" i="3"/>
  <c r="T289" i="3"/>
  <c r="S289" i="3"/>
  <c r="R289" i="3"/>
  <c r="U289" i="3" s="1"/>
  <c r="Q289" i="3"/>
  <c r="U288" i="3"/>
  <c r="T288" i="3"/>
  <c r="N288" i="3"/>
  <c r="N286" i="3" s="1"/>
  <c r="M288" i="3"/>
  <c r="L288" i="3"/>
  <c r="U287" i="3"/>
  <c r="T287" i="3"/>
  <c r="P287" i="3"/>
  <c r="O287" i="3"/>
  <c r="U286" i="3"/>
  <c r="S286" i="3"/>
  <c r="R286" i="3"/>
  <c r="Q286" i="3"/>
  <c r="T286" i="3" s="1"/>
  <c r="U285" i="3"/>
  <c r="T285" i="3"/>
  <c r="S285" i="3"/>
  <c r="R285" i="3"/>
  <c r="Q285" i="3"/>
  <c r="S284" i="3"/>
  <c r="S283" i="3" s="1"/>
  <c r="R284" i="3"/>
  <c r="Q284" i="3"/>
  <c r="T284" i="3" s="1"/>
  <c r="N284" i="3"/>
  <c r="M284" i="3"/>
  <c r="L284" i="3"/>
  <c r="Q283" i="3"/>
  <c r="T283" i="3" s="1"/>
  <c r="J282" i="3"/>
  <c r="I277" i="3"/>
  <c r="U275" i="3"/>
  <c r="T275" i="3"/>
  <c r="N275" i="3"/>
  <c r="N273" i="3" s="1"/>
  <c r="M275" i="3"/>
  <c r="L275" i="3"/>
  <c r="U274" i="3"/>
  <c r="T274" i="3"/>
  <c r="P274" i="3"/>
  <c r="O274" i="3"/>
  <c r="U273" i="3"/>
  <c r="T273" i="3"/>
  <c r="S273" i="3"/>
  <c r="R273" i="3"/>
  <c r="Q273" i="3"/>
  <c r="S272" i="3"/>
  <c r="S270" i="3" s="1"/>
  <c r="R272" i="3"/>
  <c r="Q272" i="3"/>
  <c r="Q270" i="3" s="1"/>
  <c r="N272" i="3"/>
  <c r="N270" i="3" s="1"/>
  <c r="M272" i="3"/>
  <c r="L272" i="3"/>
  <c r="U271" i="3"/>
  <c r="T271" i="3"/>
  <c r="P271" i="3"/>
  <c r="O271" i="3"/>
  <c r="S268" i="3"/>
  <c r="R268" i="3"/>
  <c r="Q268" i="3"/>
  <c r="P268" i="3"/>
  <c r="N268" i="3"/>
  <c r="M268" i="3"/>
  <c r="L268" i="3"/>
  <c r="J266" i="3"/>
  <c r="K264" i="3"/>
  <c r="K263" i="3"/>
  <c r="I261" i="3"/>
  <c r="K261" i="3" s="1"/>
  <c r="L259" i="3"/>
  <c r="L258" i="3"/>
  <c r="L257" i="3"/>
  <c r="L256" i="3"/>
  <c r="P255" i="3"/>
  <c r="N255" i="3"/>
  <c r="N233" i="3" s="1"/>
  <c r="J254" i="3"/>
  <c r="K253" i="3"/>
  <c r="K252" i="3"/>
  <c r="I250" i="3"/>
  <c r="L248" i="3"/>
  <c r="L247" i="3"/>
  <c r="L246" i="3"/>
  <c r="L245" i="3"/>
  <c r="P244" i="3"/>
  <c r="N244" i="3"/>
  <c r="J243" i="3"/>
  <c r="J232" i="3" s="1"/>
  <c r="K242" i="3"/>
  <c r="J242" i="3"/>
  <c r="I242" i="3"/>
  <c r="J241" i="3"/>
  <c r="I241" i="3"/>
  <c r="K241" i="3" s="1"/>
  <c r="J239" i="3"/>
  <c r="N237" i="3"/>
  <c r="N236" i="3"/>
  <c r="N235" i="3"/>
  <c r="N234" i="3"/>
  <c r="I231" i="3"/>
  <c r="K231" i="3" s="1"/>
  <c r="I230" i="3"/>
  <c r="K230" i="3" s="1"/>
  <c r="I229" i="3"/>
  <c r="K229" i="3" s="1"/>
  <c r="L226" i="3"/>
  <c r="L225" i="3"/>
  <c r="L224" i="3"/>
  <c r="P223" i="3"/>
  <c r="N223" i="3"/>
  <c r="J222" i="3"/>
  <c r="I221" i="3"/>
  <c r="K221" i="3" s="1"/>
  <c r="I220" i="3"/>
  <c r="K220" i="3" s="1"/>
  <c r="L218" i="3"/>
  <c r="L217" i="3"/>
  <c r="L216" i="3"/>
  <c r="P215" i="3"/>
  <c r="N215" i="3"/>
  <c r="J214" i="3"/>
  <c r="I213" i="3"/>
  <c r="K213" i="3" s="1"/>
  <c r="I212" i="3"/>
  <c r="K212" i="3" s="1"/>
  <c r="I210" i="3"/>
  <c r="L208" i="3"/>
  <c r="L207" i="3"/>
  <c r="L206" i="3"/>
  <c r="L205" i="3"/>
  <c r="P204" i="3"/>
  <c r="N204" i="3"/>
  <c r="J203" i="3"/>
  <c r="J200" i="3"/>
  <c r="I199" i="3"/>
  <c r="K199" i="3" s="1"/>
  <c r="P197" i="3"/>
  <c r="L197" i="3"/>
  <c r="O197" i="3" s="1"/>
  <c r="J196" i="3"/>
  <c r="U195" i="3"/>
  <c r="T195" i="3"/>
  <c r="N195" i="3"/>
  <c r="M195" i="3"/>
  <c r="L195" i="3"/>
  <c r="L193" i="3" s="1"/>
  <c r="O193" i="3" s="1"/>
  <c r="U194" i="3"/>
  <c r="T194" i="3"/>
  <c r="P194" i="3"/>
  <c r="O194" i="3"/>
  <c r="U193" i="3"/>
  <c r="S193" i="3"/>
  <c r="R193" i="3"/>
  <c r="Q193" i="3"/>
  <c r="T193" i="3" s="1"/>
  <c r="S192" i="3"/>
  <c r="S190" i="3" s="1"/>
  <c r="R192" i="3"/>
  <c r="Q192" i="3"/>
  <c r="N192" i="3"/>
  <c r="M192" i="3"/>
  <c r="M190" i="3" s="1"/>
  <c r="L192" i="3"/>
  <c r="L190" i="3" s="1"/>
  <c r="U191" i="3"/>
  <c r="T191" i="3"/>
  <c r="P191" i="3"/>
  <c r="O191" i="3"/>
  <c r="U188" i="3"/>
  <c r="S188" i="3"/>
  <c r="R188" i="3"/>
  <c r="Q188" i="3"/>
  <c r="T188" i="3" s="1"/>
  <c r="O188" i="3"/>
  <c r="N188" i="3"/>
  <c r="M188" i="3"/>
  <c r="P188" i="3" s="1"/>
  <c r="L188" i="3"/>
  <c r="J186" i="3"/>
  <c r="K185" i="3"/>
  <c r="I184" i="3"/>
  <c r="K184" i="3" s="1"/>
  <c r="U182" i="3"/>
  <c r="T182" i="3"/>
  <c r="N182" i="3"/>
  <c r="N180" i="3" s="1"/>
  <c r="M182" i="3"/>
  <c r="L182" i="3"/>
  <c r="U181" i="3"/>
  <c r="T181" i="3"/>
  <c r="P181" i="3"/>
  <c r="O181" i="3"/>
  <c r="T180" i="3"/>
  <c r="S180" i="3"/>
  <c r="R180" i="3"/>
  <c r="U180" i="3" s="1"/>
  <c r="Q180" i="3"/>
  <c r="S179" i="3"/>
  <c r="S177" i="3" s="1"/>
  <c r="R179" i="3"/>
  <c r="R176" i="3" s="1"/>
  <c r="U176" i="3" s="1"/>
  <c r="Q179" i="3"/>
  <c r="T179" i="3" s="1"/>
  <c r="N179" i="3"/>
  <c r="N177" i="3" s="1"/>
  <c r="M179" i="3"/>
  <c r="L179" i="3"/>
  <c r="U178" i="3"/>
  <c r="T178" i="3"/>
  <c r="P178" i="3"/>
  <c r="O178" i="3"/>
  <c r="T175" i="3"/>
  <c r="S175" i="3"/>
  <c r="R175" i="3"/>
  <c r="Q175" i="3"/>
  <c r="P175" i="3"/>
  <c r="N175" i="3"/>
  <c r="M175" i="3"/>
  <c r="L175" i="3"/>
  <c r="J173" i="3"/>
  <c r="I168" i="3"/>
  <c r="U166" i="3"/>
  <c r="T166" i="3"/>
  <c r="N166" i="3"/>
  <c r="N164" i="3" s="1"/>
  <c r="M166" i="3"/>
  <c r="P166" i="3" s="1"/>
  <c r="L166" i="3"/>
  <c r="U165" i="3"/>
  <c r="T165" i="3"/>
  <c r="P165" i="3"/>
  <c r="O165" i="3"/>
  <c r="T164" i="3"/>
  <c r="S164" i="3"/>
  <c r="R164" i="3"/>
  <c r="U164" i="3" s="1"/>
  <c r="Q164" i="3"/>
  <c r="S163" i="3"/>
  <c r="S161" i="3" s="1"/>
  <c r="R163" i="3"/>
  <c r="N163" i="3"/>
  <c r="M163" i="3"/>
  <c r="M161" i="3" s="1"/>
  <c r="L163" i="3"/>
  <c r="U162" i="3"/>
  <c r="T162" i="3"/>
  <c r="P162" i="3"/>
  <c r="O162" i="3"/>
  <c r="T159" i="3"/>
  <c r="S159" i="3"/>
  <c r="R159" i="3"/>
  <c r="Q159" i="3"/>
  <c r="N159" i="3"/>
  <c r="M159" i="3"/>
  <c r="P159" i="3" s="1"/>
  <c r="L159" i="3"/>
  <c r="J157" i="3"/>
  <c r="I155" i="3"/>
  <c r="I154" i="3"/>
  <c r="I139" i="3" s="1"/>
  <c r="K139" i="3" s="1"/>
  <c r="I153" i="3"/>
  <c r="K153" i="3" s="1"/>
  <c r="I152" i="3"/>
  <c r="K152" i="3" s="1"/>
  <c r="I151" i="3"/>
  <c r="K151" i="3" s="1"/>
  <c r="U148" i="3"/>
  <c r="T148" i="3"/>
  <c r="N148" i="3"/>
  <c r="N146" i="3" s="1"/>
  <c r="M148" i="3"/>
  <c r="M146" i="3" s="1"/>
  <c r="P146" i="3" s="1"/>
  <c r="L148" i="3"/>
  <c r="O148" i="3" s="1"/>
  <c r="U147" i="3"/>
  <c r="T147" i="3"/>
  <c r="P147" i="3"/>
  <c r="O147" i="3"/>
  <c r="T146" i="3"/>
  <c r="S146" i="3"/>
  <c r="R146" i="3"/>
  <c r="U146" i="3" s="1"/>
  <c r="Q146" i="3"/>
  <c r="S145" i="3"/>
  <c r="S143" i="3" s="1"/>
  <c r="R145" i="3"/>
  <c r="U145" i="3" s="1"/>
  <c r="Q145" i="3"/>
  <c r="Q143" i="3" s="1"/>
  <c r="T143" i="3" s="1"/>
  <c r="N145" i="3"/>
  <c r="N143" i="3" s="1"/>
  <c r="M145" i="3"/>
  <c r="M143" i="3" s="1"/>
  <c r="L145" i="3"/>
  <c r="U144" i="3"/>
  <c r="T144" i="3"/>
  <c r="P144" i="3"/>
  <c r="O144" i="3"/>
  <c r="T141" i="3"/>
  <c r="S141" i="3"/>
  <c r="R141" i="3"/>
  <c r="U141" i="3" s="1"/>
  <c r="Q141" i="3"/>
  <c r="P141" i="3"/>
  <c r="N141" i="3"/>
  <c r="M141" i="3"/>
  <c r="L141" i="3"/>
  <c r="O141" i="3" s="1"/>
  <c r="J139" i="3"/>
  <c r="J138" i="3"/>
  <c r="J137" i="3"/>
  <c r="I131" i="3"/>
  <c r="K131" i="3" s="1"/>
  <c r="I130" i="3"/>
  <c r="K130" i="3" s="1"/>
  <c r="I129" i="3"/>
  <c r="K129" i="3" s="1"/>
  <c r="I128" i="3"/>
  <c r="K128" i="3" s="1"/>
  <c r="U126" i="3"/>
  <c r="T126" i="3"/>
  <c r="N126" i="3"/>
  <c r="M126" i="3"/>
  <c r="P126" i="3" s="1"/>
  <c r="L126" i="3"/>
  <c r="U125" i="3"/>
  <c r="T125" i="3"/>
  <c r="P125" i="3"/>
  <c r="O125" i="3"/>
  <c r="T124" i="3"/>
  <c r="S124" i="3"/>
  <c r="R124" i="3"/>
  <c r="U124" i="3" s="1"/>
  <c r="Q124" i="3"/>
  <c r="S123" i="3"/>
  <c r="S121" i="3" s="1"/>
  <c r="R123" i="3"/>
  <c r="R120" i="3" s="1"/>
  <c r="Q123" i="3"/>
  <c r="Q121" i="3" s="1"/>
  <c r="N123" i="3"/>
  <c r="N121" i="3" s="1"/>
  <c r="M123" i="3"/>
  <c r="L123" i="3"/>
  <c r="U122" i="3"/>
  <c r="T122" i="3"/>
  <c r="P122" i="3"/>
  <c r="O122" i="3"/>
  <c r="T119" i="3"/>
  <c r="S119" i="3"/>
  <c r="R119" i="3"/>
  <c r="Q119" i="3"/>
  <c r="P119" i="3"/>
  <c r="N119" i="3"/>
  <c r="M119" i="3"/>
  <c r="L119" i="3"/>
  <c r="J117" i="3"/>
  <c r="I115" i="3"/>
  <c r="K115" i="3" s="1"/>
  <c r="I110" i="3"/>
  <c r="I94" i="3" s="1"/>
  <c r="K94" i="3" s="1"/>
  <c r="I109" i="3"/>
  <c r="K109" i="3" s="1"/>
  <c r="U103" i="3"/>
  <c r="T103" i="3"/>
  <c r="N103" i="3"/>
  <c r="N101" i="3" s="1"/>
  <c r="M103" i="3"/>
  <c r="P103" i="3" s="1"/>
  <c r="L103" i="3"/>
  <c r="U102" i="3"/>
  <c r="T102" i="3"/>
  <c r="P102" i="3"/>
  <c r="O102" i="3"/>
  <c r="T101" i="3"/>
  <c r="S101" i="3"/>
  <c r="R101" i="3"/>
  <c r="U101" i="3" s="1"/>
  <c r="Q101" i="3"/>
  <c r="S100" i="3"/>
  <c r="S98" i="3" s="1"/>
  <c r="R100" i="3"/>
  <c r="R97" i="3" s="1"/>
  <c r="U97" i="3" s="1"/>
  <c r="N100" i="3"/>
  <c r="M100" i="3"/>
  <c r="P100" i="3" s="1"/>
  <c r="L100" i="3"/>
  <c r="U99" i="3"/>
  <c r="T99" i="3"/>
  <c r="P99" i="3"/>
  <c r="O99" i="3"/>
  <c r="S96" i="3"/>
  <c r="R96" i="3"/>
  <c r="Q96" i="3"/>
  <c r="T96" i="3" s="1"/>
  <c r="P96" i="3"/>
  <c r="N96" i="3"/>
  <c r="M96" i="3"/>
  <c r="L96" i="3"/>
  <c r="J94" i="3"/>
  <c r="J93" i="3"/>
  <c r="I91" i="3"/>
  <c r="K91" i="3" s="1"/>
  <c r="I90" i="3"/>
  <c r="K90" i="3" s="1"/>
  <c r="I89" i="3"/>
  <c r="K89" i="3" s="1"/>
  <c r="I88" i="3"/>
  <c r="K88" i="3" s="1"/>
  <c r="I87" i="3"/>
  <c r="K87" i="3" s="1"/>
  <c r="I86" i="3"/>
  <c r="K86" i="3" s="1"/>
  <c r="I85" i="3"/>
  <c r="K85" i="3" s="1"/>
  <c r="J84" i="3"/>
  <c r="J72" i="3" s="1"/>
  <c r="J83" i="3"/>
  <c r="U81" i="3"/>
  <c r="T81" i="3"/>
  <c r="N81" i="3"/>
  <c r="N79" i="3" s="1"/>
  <c r="M81" i="3"/>
  <c r="L81" i="3"/>
  <c r="O81" i="3" s="1"/>
  <c r="U80" i="3"/>
  <c r="T80" i="3"/>
  <c r="P80" i="3"/>
  <c r="O80" i="3"/>
  <c r="U79" i="3"/>
  <c r="S79" i="3"/>
  <c r="R79" i="3"/>
  <c r="Q79" i="3"/>
  <c r="T79" i="3" s="1"/>
  <c r="S78" i="3"/>
  <c r="S75" i="3" s="1"/>
  <c r="R78" i="3"/>
  <c r="R76" i="3" s="1"/>
  <c r="Q78" i="3"/>
  <c r="Q75" i="3" s="1"/>
  <c r="N78" i="3"/>
  <c r="N76" i="3" s="1"/>
  <c r="M78" i="3"/>
  <c r="M76" i="3" s="1"/>
  <c r="L78" i="3"/>
  <c r="L76" i="3" s="1"/>
  <c r="U77" i="3"/>
  <c r="T77" i="3"/>
  <c r="P77" i="3"/>
  <c r="O77" i="3"/>
  <c r="S74" i="3"/>
  <c r="R74" i="3"/>
  <c r="U74" i="3" s="1"/>
  <c r="Q74" i="3"/>
  <c r="T74" i="3" s="1"/>
  <c r="N74" i="3"/>
  <c r="M74" i="3"/>
  <c r="P74" i="3" s="1"/>
  <c r="L74" i="3"/>
  <c r="O74" i="3" s="1"/>
  <c r="J71" i="3"/>
  <c r="U68" i="3"/>
  <c r="T68" i="3"/>
  <c r="N68" i="3"/>
  <c r="M68" i="3"/>
  <c r="M66" i="3" s="1"/>
  <c r="P66" i="3" s="1"/>
  <c r="L68" i="3"/>
  <c r="O68" i="3" s="1"/>
  <c r="U67" i="3"/>
  <c r="T67" i="3"/>
  <c r="P67" i="3"/>
  <c r="O67" i="3"/>
  <c r="T66" i="3"/>
  <c r="S66" i="3"/>
  <c r="R66" i="3"/>
  <c r="U66" i="3" s="1"/>
  <c r="Q66" i="3"/>
  <c r="U65" i="3"/>
  <c r="T65" i="3"/>
  <c r="N65" i="3"/>
  <c r="N63" i="3" s="1"/>
  <c r="M65" i="3"/>
  <c r="M63" i="3" s="1"/>
  <c r="L65" i="3"/>
  <c r="U64" i="3"/>
  <c r="T64" i="3"/>
  <c r="P64" i="3"/>
  <c r="O64" i="3"/>
  <c r="U63" i="3"/>
  <c r="S63" i="3"/>
  <c r="R63" i="3"/>
  <c r="Q63" i="3"/>
  <c r="T63" i="3" s="1"/>
  <c r="U62" i="3"/>
  <c r="S62" i="3"/>
  <c r="S60" i="3" s="1"/>
  <c r="R62" i="3"/>
  <c r="Q62" i="3"/>
  <c r="T62" i="3" s="1"/>
  <c r="U61" i="3"/>
  <c r="T61" i="3"/>
  <c r="S61" i="3"/>
  <c r="R61" i="3"/>
  <c r="Q61" i="3"/>
  <c r="O61" i="3"/>
  <c r="N61" i="3"/>
  <c r="M61" i="3"/>
  <c r="P61" i="3" s="1"/>
  <c r="L61" i="3"/>
  <c r="U60" i="3"/>
  <c r="R60" i="3"/>
  <c r="U53" i="3"/>
  <c r="T53" i="3"/>
  <c r="N53" i="3"/>
  <c r="M53" i="3"/>
  <c r="P53" i="3" s="1"/>
  <c r="L53" i="3"/>
  <c r="O53" i="3" s="1"/>
  <c r="U52" i="3"/>
  <c r="T52" i="3"/>
  <c r="P52" i="3"/>
  <c r="O52" i="3"/>
  <c r="U51" i="3"/>
  <c r="T51" i="3"/>
  <c r="S51" i="3"/>
  <c r="R51" i="3"/>
  <c r="Q51" i="3"/>
  <c r="U50" i="3"/>
  <c r="T50" i="3"/>
  <c r="N50" i="3"/>
  <c r="N48" i="3" s="1"/>
  <c r="M50" i="3"/>
  <c r="L50" i="3"/>
  <c r="L48" i="3" s="1"/>
  <c r="U49" i="3"/>
  <c r="T49" i="3"/>
  <c r="P49" i="3"/>
  <c r="O49" i="3"/>
  <c r="U48" i="3"/>
  <c r="S48" i="3"/>
  <c r="R48" i="3"/>
  <c r="Q48" i="3"/>
  <c r="T48" i="3" s="1"/>
  <c r="U47" i="3"/>
  <c r="S47" i="3"/>
  <c r="R47" i="3"/>
  <c r="Q47" i="3"/>
  <c r="T47" i="3" s="1"/>
  <c r="U46" i="3"/>
  <c r="S46" i="3"/>
  <c r="R46" i="3"/>
  <c r="Q46" i="3"/>
  <c r="Q45" i="3" s="1"/>
  <c r="T45" i="3" s="1"/>
  <c r="O46" i="3"/>
  <c r="N46" i="3"/>
  <c r="M46" i="3"/>
  <c r="P46" i="3" s="1"/>
  <c r="L46" i="3"/>
  <c r="U45" i="3"/>
  <c r="S45" i="3"/>
  <c r="R45" i="3"/>
  <c r="S27" i="3"/>
  <c r="R27" i="3"/>
  <c r="Q27" i="3"/>
  <c r="T27" i="3" s="1"/>
  <c r="S26" i="3"/>
  <c r="S25" i="3" s="1"/>
  <c r="R26" i="3"/>
  <c r="U26" i="3" s="1"/>
  <c r="Q26" i="3"/>
  <c r="T26" i="3" s="1"/>
  <c r="N26" i="3"/>
  <c r="M26" i="3"/>
  <c r="P26" i="3" s="1"/>
  <c r="L26" i="3"/>
  <c r="O26" i="3" s="1"/>
  <c r="T25" i="3"/>
  <c r="Q25" i="3"/>
  <c r="S23" i="3"/>
  <c r="R23" i="3"/>
  <c r="U23" i="3" s="1"/>
  <c r="Q23" i="3"/>
  <c r="T23" i="3" s="1"/>
  <c r="N23" i="3"/>
  <c r="N20" i="3" s="1"/>
  <c r="M23" i="3"/>
  <c r="P23" i="3" s="1"/>
  <c r="L23" i="3"/>
  <c r="O23" i="3" s="1"/>
  <c r="A788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H777" i="2"/>
  <c r="I776" i="2"/>
  <c r="I775" i="2"/>
  <c r="I774" i="2"/>
  <c r="I759" i="2" s="1"/>
  <c r="I772" i="2"/>
  <c r="I758" i="2" s="1"/>
  <c r="I770" i="2"/>
  <c r="K770" i="2" s="1"/>
  <c r="U768" i="2"/>
  <c r="T768" i="2"/>
  <c r="P768" i="2"/>
  <c r="O768" i="2"/>
  <c r="U767" i="2"/>
  <c r="T767" i="2"/>
  <c r="P767" i="2"/>
  <c r="O767" i="2"/>
  <c r="S766" i="2"/>
  <c r="R766" i="2"/>
  <c r="U766" i="2" s="1"/>
  <c r="Q766" i="2"/>
  <c r="T766" i="2" s="1"/>
  <c r="N766" i="2"/>
  <c r="M766" i="2"/>
  <c r="P766" i="2" s="1"/>
  <c r="L766" i="2"/>
  <c r="O766" i="2" s="1"/>
  <c r="S765" i="2"/>
  <c r="S762" i="2" s="1"/>
  <c r="R765" i="2"/>
  <c r="Q765" i="2"/>
  <c r="Q762" i="2" s="1"/>
  <c r="P765" i="2"/>
  <c r="O765" i="2"/>
  <c r="U764" i="2"/>
  <c r="T764" i="2"/>
  <c r="P764" i="2"/>
  <c r="O764" i="2"/>
  <c r="N763" i="2"/>
  <c r="M763" i="2"/>
  <c r="P763" i="2" s="1"/>
  <c r="L763" i="2"/>
  <c r="O763" i="2" s="1"/>
  <c r="N762" i="2"/>
  <c r="M762" i="2"/>
  <c r="P762" i="2" s="1"/>
  <c r="L762" i="2"/>
  <c r="S761" i="2"/>
  <c r="R761" i="2"/>
  <c r="U761" i="2" s="1"/>
  <c r="Q761" i="2"/>
  <c r="T761" i="2" s="1"/>
  <c r="O761" i="2"/>
  <c r="N761" i="2"/>
  <c r="M761" i="2"/>
  <c r="P761" i="2" s="1"/>
  <c r="L761" i="2"/>
  <c r="J759" i="2"/>
  <c r="J758" i="2"/>
  <c r="I756" i="2"/>
  <c r="K756" i="2" s="1"/>
  <c r="I753" i="2"/>
  <c r="K753" i="2" s="1"/>
  <c r="I750" i="2"/>
  <c r="K750" i="2" s="1"/>
  <c r="I747" i="2"/>
  <c r="K747" i="2" s="1"/>
  <c r="I745" i="2"/>
  <c r="K745" i="2" s="1"/>
  <c r="I743" i="2"/>
  <c r="K743" i="2" s="1"/>
  <c r="I741" i="2"/>
  <c r="K741" i="2" s="1"/>
  <c r="U737" i="2"/>
  <c r="T737" i="2"/>
  <c r="P737" i="2"/>
  <c r="O737" i="2"/>
  <c r="U736" i="2"/>
  <c r="T736" i="2"/>
  <c r="P736" i="2"/>
  <c r="O736" i="2"/>
  <c r="S735" i="2"/>
  <c r="R735" i="2"/>
  <c r="U735" i="2" s="1"/>
  <c r="Q735" i="2"/>
  <c r="T735" i="2" s="1"/>
  <c r="N735" i="2"/>
  <c r="M735" i="2"/>
  <c r="P735" i="2" s="1"/>
  <c r="L735" i="2"/>
  <c r="O735" i="2" s="1"/>
  <c r="S734" i="2"/>
  <c r="R734" i="2"/>
  <c r="R732" i="2" s="1"/>
  <c r="Q734" i="2"/>
  <c r="Q732" i="2" s="1"/>
  <c r="P734" i="2"/>
  <c r="O734" i="2"/>
  <c r="U733" i="2"/>
  <c r="T733" i="2"/>
  <c r="P733" i="2"/>
  <c r="O733" i="2"/>
  <c r="N732" i="2"/>
  <c r="M732" i="2"/>
  <c r="P732" i="2" s="1"/>
  <c r="L732" i="2"/>
  <c r="O732" i="2" s="1"/>
  <c r="O731" i="2"/>
  <c r="N731" i="2"/>
  <c r="M731" i="2"/>
  <c r="P731" i="2" s="1"/>
  <c r="L731" i="2"/>
  <c r="S730" i="2"/>
  <c r="R730" i="2"/>
  <c r="U730" i="2" s="1"/>
  <c r="Q730" i="2"/>
  <c r="T730" i="2" s="1"/>
  <c r="N730" i="2"/>
  <c r="N729" i="2" s="1"/>
  <c r="M730" i="2"/>
  <c r="P730" i="2" s="1"/>
  <c r="L730" i="2"/>
  <c r="L729" i="2" s="1"/>
  <c r="O729" i="2" s="1"/>
  <c r="J728" i="2"/>
  <c r="I728" i="2"/>
  <c r="K728" i="2" s="1"/>
  <c r="J727" i="2"/>
  <c r="I727" i="2"/>
  <c r="K727" i="2" s="1"/>
  <c r="U723" i="2"/>
  <c r="T723" i="2"/>
  <c r="P723" i="2"/>
  <c r="O723" i="2"/>
  <c r="U722" i="2"/>
  <c r="T722" i="2"/>
  <c r="P722" i="2"/>
  <c r="O722" i="2"/>
  <c r="S721" i="2"/>
  <c r="R721" i="2"/>
  <c r="U721" i="2" s="1"/>
  <c r="Q721" i="2"/>
  <c r="T721" i="2" s="1"/>
  <c r="N721" i="2"/>
  <c r="M721" i="2"/>
  <c r="P721" i="2" s="1"/>
  <c r="L721" i="2"/>
  <c r="O721" i="2" s="1"/>
  <c r="U720" i="2"/>
  <c r="T720" i="2"/>
  <c r="P720" i="2"/>
  <c r="O720" i="2"/>
  <c r="U719" i="2"/>
  <c r="T719" i="2"/>
  <c r="P719" i="2"/>
  <c r="O719" i="2"/>
  <c r="S718" i="2"/>
  <c r="R718" i="2"/>
  <c r="U718" i="2" s="1"/>
  <c r="Q718" i="2"/>
  <c r="T718" i="2" s="1"/>
  <c r="N718" i="2"/>
  <c r="M718" i="2"/>
  <c r="P718" i="2" s="1"/>
  <c r="L718" i="2"/>
  <c r="O718" i="2" s="1"/>
  <c r="S717" i="2"/>
  <c r="R717" i="2"/>
  <c r="U717" i="2" s="1"/>
  <c r="Q717" i="2"/>
  <c r="N717" i="2"/>
  <c r="M717" i="2"/>
  <c r="P717" i="2" s="1"/>
  <c r="L717" i="2"/>
  <c r="O717" i="2" s="1"/>
  <c r="U716" i="2"/>
  <c r="S716" i="2"/>
  <c r="S715" i="2" s="1"/>
  <c r="R716" i="2"/>
  <c r="Q716" i="2"/>
  <c r="T716" i="2" s="1"/>
  <c r="N716" i="2"/>
  <c r="N715" i="2" s="1"/>
  <c r="M716" i="2"/>
  <c r="P716" i="2" s="1"/>
  <c r="L716" i="2"/>
  <c r="O716" i="2" s="1"/>
  <c r="R715" i="2"/>
  <c r="U715" i="2" s="1"/>
  <c r="K713" i="2"/>
  <c r="J713" i="2"/>
  <c r="K711" i="2"/>
  <c r="J711" i="2"/>
  <c r="J710" i="2"/>
  <c r="I710" i="2"/>
  <c r="K709" i="2"/>
  <c r="J709" i="2"/>
  <c r="J708" i="2"/>
  <c r="J690" i="2" s="1"/>
  <c r="I708" i="2"/>
  <c r="I690" i="2" s="1"/>
  <c r="K707" i="2"/>
  <c r="J707" i="2"/>
  <c r="J706" i="2"/>
  <c r="I706" i="2"/>
  <c r="K705" i="2"/>
  <c r="J705" i="2"/>
  <c r="J704" i="2"/>
  <c r="I704" i="2"/>
  <c r="K703" i="2"/>
  <c r="I701" i="2"/>
  <c r="K701" i="2" s="1"/>
  <c r="U699" i="2"/>
  <c r="T699" i="2"/>
  <c r="P699" i="2"/>
  <c r="O699" i="2"/>
  <c r="U698" i="2"/>
  <c r="T698" i="2"/>
  <c r="P698" i="2"/>
  <c r="O698" i="2"/>
  <c r="S697" i="2"/>
  <c r="R697" i="2"/>
  <c r="U697" i="2" s="1"/>
  <c r="Q697" i="2"/>
  <c r="T697" i="2" s="1"/>
  <c r="N697" i="2"/>
  <c r="M697" i="2"/>
  <c r="P697" i="2" s="1"/>
  <c r="L697" i="2"/>
  <c r="O697" i="2" s="1"/>
  <c r="S696" i="2"/>
  <c r="S694" i="2" s="1"/>
  <c r="R696" i="2"/>
  <c r="R694" i="2" s="1"/>
  <c r="Q696" i="2"/>
  <c r="P696" i="2"/>
  <c r="O696" i="2"/>
  <c r="U695" i="2"/>
  <c r="T695" i="2"/>
  <c r="P695" i="2"/>
  <c r="O695" i="2"/>
  <c r="N694" i="2"/>
  <c r="M694" i="2"/>
  <c r="P694" i="2" s="1"/>
  <c r="L694" i="2"/>
  <c r="O694" i="2" s="1"/>
  <c r="N693" i="2"/>
  <c r="M693" i="2"/>
  <c r="L693" i="2"/>
  <c r="U692" i="2"/>
  <c r="S692" i="2"/>
  <c r="R692" i="2"/>
  <c r="Q692" i="2"/>
  <c r="N692" i="2"/>
  <c r="N691" i="2" s="1"/>
  <c r="M692" i="2"/>
  <c r="P692" i="2" s="1"/>
  <c r="L692" i="2"/>
  <c r="O692" i="2" s="1"/>
  <c r="J683" i="2"/>
  <c r="I683" i="2"/>
  <c r="K683" i="2" s="1"/>
  <c r="J682" i="2"/>
  <c r="I682" i="2"/>
  <c r="K682" i="2" s="1"/>
  <c r="J681" i="2"/>
  <c r="J680" i="2"/>
  <c r="I680" i="2"/>
  <c r="K680" i="2" s="1"/>
  <c r="J679" i="2"/>
  <c r="I679" i="2"/>
  <c r="J678" i="2"/>
  <c r="J677" i="2"/>
  <c r="I677" i="2"/>
  <c r="I676" i="2"/>
  <c r="I675" i="2"/>
  <c r="J674" i="2"/>
  <c r="I674" i="2"/>
  <c r="K674" i="2" s="1"/>
  <c r="J673" i="2"/>
  <c r="J672" i="2"/>
  <c r="J662" i="2"/>
  <c r="I662" i="2"/>
  <c r="K662" i="2" s="1"/>
  <c r="I661" i="2"/>
  <c r="I658" i="2"/>
  <c r="J655" i="2"/>
  <c r="I655" i="2"/>
  <c r="J654" i="2"/>
  <c r="I654" i="2"/>
  <c r="K654" i="2" s="1"/>
  <c r="J653" i="2"/>
  <c r="I653" i="2"/>
  <c r="K653" i="2" s="1"/>
  <c r="U651" i="2"/>
  <c r="T651" i="2"/>
  <c r="P651" i="2"/>
  <c r="O651" i="2"/>
  <c r="U650" i="2"/>
  <c r="T650" i="2"/>
  <c r="P650" i="2"/>
  <c r="O650" i="2"/>
  <c r="S649" i="2"/>
  <c r="R649" i="2"/>
  <c r="U649" i="2" s="1"/>
  <c r="Q649" i="2"/>
  <c r="T649" i="2" s="1"/>
  <c r="N649" i="2"/>
  <c r="M649" i="2"/>
  <c r="P649" i="2" s="1"/>
  <c r="L649" i="2"/>
  <c r="O649" i="2" s="1"/>
  <c r="S648" i="2"/>
  <c r="S645" i="2" s="1"/>
  <c r="R648" i="2"/>
  <c r="R646" i="2" s="1"/>
  <c r="Q648" i="2"/>
  <c r="Q646" i="2" s="1"/>
  <c r="P648" i="2"/>
  <c r="O648" i="2"/>
  <c r="U647" i="2"/>
  <c r="T647" i="2"/>
  <c r="P647" i="2"/>
  <c r="O647" i="2"/>
  <c r="N646" i="2"/>
  <c r="M646" i="2"/>
  <c r="P646" i="2" s="1"/>
  <c r="L646" i="2"/>
  <c r="O646" i="2" s="1"/>
  <c r="N645" i="2"/>
  <c r="M645" i="2"/>
  <c r="L645" i="2"/>
  <c r="S644" i="2"/>
  <c r="R644" i="2"/>
  <c r="U644" i="2" s="1"/>
  <c r="Q644" i="2"/>
  <c r="N644" i="2"/>
  <c r="N643" i="2" s="1"/>
  <c r="M644" i="2"/>
  <c r="P644" i="2" s="1"/>
  <c r="L644" i="2"/>
  <c r="O644" i="2" s="1"/>
  <c r="J637" i="2"/>
  <c r="J636" i="2" s="1"/>
  <c r="I636" i="2"/>
  <c r="K636" i="2" s="1"/>
  <c r="J633" i="2"/>
  <c r="I629" i="2"/>
  <c r="K629" i="2" s="1"/>
  <c r="I628" i="2"/>
  <c r="K628" i="2" s="1"/>
  <c r="J627" i="2"/>
  <c r="J616" i="2" s="1"/>
  <c r="I627" i="2"/>
  <c r="K630" i="2" s="1"/>
  <c r="U625" i="2"/>
  <c r="T625" i="2"/>
  <c r="P625" i="2"/>
  <c r="O625" i="2"/>
  <c r="U624" i="2"/>
  <c r="T624" i="2"/>
  <c r="P624" i="2"/>
  <c r="O624" i="2"/>
  <c r="S623" i="2"/>
  <c r="R623" i="2"/>
  <c r="U623" i="2" s="1"/>
  <c r="Q623" i="2"/>
  <c r="T623" i="2" s="1"/>
  <c r="N623" i="2"/>
  <c r="M623" i="2"/>
  <c r="P623" i="2" s="1"/>
  <c r="L623" i="2"/>
  <c r="O623" i="2" s="1"/>
  <c r="S622" i="2"/>
  <c r="R622" i="2"/>
  <c r="R620" i="2" s="1"/>
  <c r="Q622" i="2"/>
  <c r="P622" i="2"/>
  <c r="O622" i="2"/>
  <c r="U621" i="2"/>
  <c r="T621" i="2"/>
  <c r="P621" i="2"/>
  <c r="O621" i="2"/>
  <c r="N620" i="2"/>
  <c r="M620" i="2"/>
  <c r="P620" i="2" s="1"/>
  <c r="L620" i="2"/>
  <c r="O620" i="2" s="1"/>
  <c r="N619" i="2"/>
  <c r="M619" i="2"/>
  <c r="L619" i="2"/>
  <c r="O619" i="2" s="1"/>
  <c r="S618" i="2"/>
  <c r="R618" i="2"/>
  <c r="Q618" i="2"/>
  <c r="N618" i="2"/>
  <c r="M618" i="2"/>
  <c r="P618" i="2" s="1"/>
  <c r="L618" i="2"/>
  <c r="U608" i="2"/>
  <c r="T608" i="2"/>
  <c r="P608" i="2"/>
  <c r="O608" i="2"/>
  <c r="U607" i="2"/>
  <c r="T607" i="2"/>
  <c r="P607" i="2"/>
  <c r="O607" i="2"/>
  <c r="S606" i="2"/>
  <c r="R606" i="2"/>
  <c r="U606" i="2" s="1"/>
  <c r="Q606" i="2"/>
  <c r="T606" i="2" s="1"/>
  <c r="N606" i="2"/>
  <c r="M606" i="2"/>
  <c r="P606" i="2" s="1"/>
  <c r="L606" i="2"/>
  <c r="O606" i="2" s="1"/>
  <c r="U605" i="2"/>
  <c r="T605" i="2"/>
  <c r="P605" i="2"/>
  <c r="O605" i="2"/>
  <c r="U604" i="2"/>
  <c r="T604" i="2"/>
  <c r="P604" i="2"/>
  <c r="O604" i="2"/>
  <c r="S603" i="2"/>
  <c r="R603" i="2"/>
  <c r="U603" i="2" s="1"/>
  <c r="Q603" i="2"/>
  <c r="T603" i="2" s="1"/>
  <c r="N603" i="2"/>
  <c r="M603" i="2"/>
  <c r="P603" i="2" s="1"/>
  <c r="L603" i="2"/>
  <c r="O603" i="2" s="1"/>
  <c r="S602" i="2"/>
  <c r="R602" i="2"/>
  <c r="U602" i="2" s="1"/>
  <c r="Q602" i="2"/>
  <c r="N602" i="2"/>
  <c r="M602" i="2"/>
  <c r="P602" i="2" s="1"/>
  <c r="L602" i="2"/>
  <c r="O602" i="2" s="1"/>
  <c r="U601" i="2"/>
  <c r="T601" i="2"/>
  <c r="S601" i="2"/>
  <c r="R601" i="2"/>
  <c r="Q601" i="2"/>
  <c r="N601" i="2"/>
  <c r="N600" i="2" s="1"/>
  <c r="M601" i="2"/>
  <c r="L601" i="2"/>
  <c r="O601" i="2" s="1"/>
  <c r="R600" i="2"/>
  <c r="U600" i="2" s="1"/>
  <c r="U585" i="2"/>
  <c r="T585" i="2"/>
  <c r="P585" i="2"/>
  <c r="O585" i="2"/>
  <c r="U584" i="2"/>
  <c r="T584" i="2"/>
  <c r="P584" i="2"/>
  <c r="O584" i="2"/>
  <c r="S583" i="2"/>
  <c r="R583" i="2"/>
  <c r="U583" i="2" s="1"/>
  <c r="Q583" i="2"/>
  <c r="T583" i="2" s="1"/>
  <c r="N583" i="2"/>
  <c r="M583" i="2"/>
  <c r="P583" i="2" s="1"/>
  <c r="L583" i="2"/>
  <c r="O583" i="2" s="1"/>
  <c r="U582" i="2"/>
  <c r="T582" i="2"/>
  <c r="P582" i="2"/>
  <c r="O582" i="2"/>
  <c r="U581" i="2"/>
  <c r="T581" i="2"/>
  <c r="P581" i="2"/>
  <c r="O581" i="2"/>
  <c r="S580" i="2"/>
  <c r="R580" i="2"/>
  <c r="U580" i="2" s="1"/>
  <c r="Q580" i="2"/>
  <c r="T580" i="2" s="1"/>
  <c r="N580" i="2"/>
  <c r="M580" i="2"/>
  <c r="P580" i="2" s="1"/>
  <c r="L580" i="2"/>
  <c r="O580" i="2" s="1"/>
  <c r="S579" i="2"/>
  <c r="R579" i="2"/>
  <c r="U579" i="2" s="1"/>
  <c r="Q579" i="2"/>
  <c r="N579" i="2"/>
  <c r="M579" i="2"/>
  <c r="P579" i="2" s="1"/>
  <c r="L579" i="2"/>
  <c r="O579" i="2" s="1"/>
  <c r="S578" i="2"/>
  <c r="R578" i="2"/>
  <c r="U578" i="2" s="1"/>
  <c r="Q578" i="2"/>
  <c r="T578" i="2" s="1"/>
  <c r="O578" i="2"/>
  <c r="N578" i="2"/>
  <c r="M578" i="2"/>
  <c r="P578" i="2" s="1"/>
  <c r="L578" i="2"/>
  <c r="S577" i="2"/>
  <c r="M577" i="2"/>
  <c r="P577" i="2" s="1"/>
  <c r="L577" i="2"/>
  <c r="O577" i="2" s="1"/>
  <c r="J576" i="2"/>
  <c r="I576" i="2"/>
  <c r="K576" i="2" s="1"/>
  <c r="U564" i="2"/>
  <c r="T564" i="2"/>
  <c r="P564" i="2"/>
  <c r="O564" i="2"/>
  <c r="U563" i="2"/>
  <c r="T563" i="2"/>
  <c r="P563" i="2"/>
  <c r="O563" i="2"/>
  <c r="S562" i="2"/>
  <c r="R562" i="2"/>
  <c r="U562" i="2" s="1"/>
  <c r="Q562" i="2"/>
  <c r="T562" i="2" s="1"/>
  <c r="O562" i="2"/>
  <c r="N562" i="2"/>
  <c r="M562" i="2"/>
  <c r="P562" i="2" s="1"/>
  <c r="L562" i="2"/>
  <c r="U561" i="2"/>
  <c r="T561" i="2"/>
  <c r="P561" i="2"/>
  <c r="O561" i="2"/>
  <c r="U560" i="2"/>
  <c r="T560" i="2"/>
  <c r="P560" i="2"/>
  <c r="O560" i="2"/>
  <c r="U559" i="2"/>
  <c r="S559" i="2"/>
  <c r="R559" i="2"/>
  <c r="Q559" i="2"/>
  <c r="T559" i="2" s="1"/>
  <c r="N559" i="2"/>
  <c r="M559" i="2"/>
  <c r="P559" i="2" s="1"/>
  <c r="L559" i="2"/>
  <c r="O559" i="2" s="1"/>
  <c r="S558" i="2"/>
  <c r="R558" i="2"/>
  <c r="U558" i="2" s="1"/>
  <c r="Q558" i="2"/>
  <c r="T558" i="2" s="1"/>
  <c r="N558" i="2"/>
  <c r="M558" i="2"/>
  <c r="P558" i="2" s="1"/>
  <c r="L558" i="2"/>
  <c r="O558" i="2" s="1"/>
  <c r="S557" i="2"/>
  <c r="S556" i="2" s="1"/>
  <c r="R557" i="2"/>
  <c r="Q557" i="2"/>
  <c r="N557" i="2"/>
  <c r="M557" i="2"/>
  <c r="P557" i="2" s="1"/>
  <c r="L557" i="2"/>
  <c r="J555" i="2"/>
  <c r="I555" i="2"/>
  <c r="K555" i="2" s="1"/>
  <c r="U543" i="2"/>
  <c r="T543" i="2"/>
  <c r="P543" i="2"/>
  <c r="O543" i="2"/>
  <c r="U542" i="2"/>
  <c r="T542" i="2"/>
  <c r="P542" i="2"/>
  <c r="O542" i="2"/>
  <c r="S541" i="2"/>
  <c r="R541" i="2"/>
  <c r="U541" i="2" s="1"/>
  <c r="Q541" i="2"/>
  <c r="T541" i="2" s="1"/>
  <c r="N541" i="2"/>
  <c r="M541" i="2"/>
  <c r="P541" i="2" s="1"/>
  <c r="L541" i="2"/>
  <c r="O541" i="2" s="1"/>
  <c r="U540" i="2"/>
  <c r="T540" i="2"/>
  <c r="P540" i="2"/>
  <c r="O540" i="2"/>
  <c r="U539" i="2"/>
  <c r="T539" i="2"/>
  <c r="P539" i="2"/>
  <c r="O539" i="2"/>
  <c r="S538" i="2"/>
  <c r="R538" i="2"/>
  <c r="U538" i="2" s="1"/>
  <c r="Q538" i="2"/>
  <c r="T538" i="2" s="1"/>
  <c r="N538" i="2"/>
  <c r="M538" i="2"/>
  <c r="P538" i="2" s="1"/>
  <c r="L538" i="2"/>
  <c r="O538" i="2" s="1"/>
  <c r="S537" i="2"/>
  <c r="R537" i="2"/>
  <c r="U537" i="2" s="1"/>
  <c r="Q537" i="2"/>
  <c r="N537" i="2"/>
  <c r="M537" i="2"/>
  <c r="P537" i="2" s="1"/>
  <c r="L537" i="2"/>
  <c r="O537" i="2" s="1"/>
  <c r="S536" i="2"/>
  <c r="R536" i="2"/>
  <c r="U536" i="2" s="1"/>
  <c r="Q536" i="2"/>
  <c r="T536" i="2" s="1"/>
  <c r="N536" i="2"/>
  <c r="N535" i="2" s="1"/>
  <c r="M536" i="2"/>
  <c r="P536" i="2" s="1"/>
  <c r="L536" i="2"/>
  <c r="O536" i="2" s="1"/>
  <c r="S535" i="2"/>
  <c r="M535" i="2"/>
  <c r="P535" i="2" s="1"/>
  <c r="L535" i="2"/>
  <c r="O535" i="2" s="1"/>
  <c r="K534" i="2"/>
  <c r="J534" i="2"/>
  <c r="I534" i="2"/>
  <c r="K525" i="2"/>
  <c r="K524" i="2"/>
  <c r="U522" i="2"/>
  <c r="T522" i="2"/>
  <c r="N522" i="2"/>
  <c r="N520" i="2" s="1"/>
  <c r="M522" i="2"/>
  <c r="L522" i="2"/>
  <c r="U521" i="2"/>
  <c r="T521" i="2"/>
  <c r="P521" i="2"/>
  <c r="O521" i="2"/>
  <c r="S520" i="2"/>
  <c r="R520" i="2"/>
  <c r="U520" i="2" s="1"/>
  <c r="Q520" i="2"/>
  <c r="T520" i="2" s="1"/>
  <c r="U519" i="2"/>
  <c r="T519" i="2"/>
  <c r="N519" i="2"/>
  <c r="N517" i="2" s="1"/>
  <c r="M519" i="2"/>
  <c r="P519" i="2" s="1"/>
  <c r="L519" i="2"/>
  <c r="O519" i="2" s="1"/>
  <c r="U518" i="2"/>
  <c r="T518" i="2"/>
  <c r="P518" i="2"/>
  <c r="O518" i="2"/>
  <c r="S517" i="2"/>
  <c r="R517" i="2"/>
  <c r="U517" i="2" s="1"/>
  <c r="Q517" i="2"/>
  <c r="T517" i="2" s="1"/>
  <c r="S516" i="2"/>
  <c r="R516" i="2"/>
  <c r="Q516" i="2"/>
  <c r="T516" i="2" s="1"/>
  <c r="T515" i="2"/>
  <c r="S515" i="2"/>
  <c r="S514" i="2" s="1"/>
  <c r="R515" i="2"/>
  <c r="U515" i="2" s="1"/>
  <c r="Q515" i="2"/>
  <c r="N515" i="2"/>
  <c r="M515" i="2"/>
  <c r="L515" i="2"/>
  <c r="O515" i="2" s="1"/>
  <c r="J513" i="2"/>
  <c r="I513" i="2"/>
  <c r="K513" i="2" s="1"/>
  <c r="I510" i="2"/>
  <c r="K510" i="2" s="1"/>
  <c r="K509" i="2"/>
  <c r="I508" i="2"/>
  <c r="K508" i="2" s="1"/>
  <c r="I507" i="2"/>
  <c r="K507" i="2" s="1"/>
  <c r="I506" i="2"/>
  <c r="K506" i="2" s="1"/>
  <c r="I505" i="2"/>
  <c r="K505" i="2" s="1"/>
  <c r="I504" i="2"/>
  <c r="K504" i="2" s="1"/>
  <c r="U502" i="2"/>
  <c r="T502" i="2"/>
  <c r="P502" i="2"/>
  <c r="O502" i="2"/>
  <c r="U501" i="2"/>
  <c r="T501" i="2"/>
  <c r="P501" i="2"/>
  <c r="O501" i="2"/>
  <c r="S500" i="2"/>
  <c r="R500" i="2"/>
  <c r="U500" i="2" s="1"/>
  <c r="Q500" i="2"/>
  <c r="T500" i="2" s="1"/>
  <c r="N500" i="2"/>
  <c r="M500" i="2"/>
  <c r="P500" i="2" s="1"/>
  <c r="L500" i="2"/>
  <c r="O500" i="2" s="1"/>
  <c r="S499" i="2"/>
  <c r="S497" i="2" s="1"/>
  <c r="R499" i="2"/>
  <c r="Q499" i="2"/>
  <c r="Q496" i="2" s="1"/>
  <c r="P499" i="2"/>
  <c r="O499" i="2"/>
  <c r="U498" i="2"/>
  <c r="T498" i="2"/>
  <c r="P498" i="2"/>
  <c r="O498" i="2"/>
  <c r="N497" i="2"/>
  <c r="M497" i="2"/>
  <c r="P497" i="2" s="1"/>
  <c r="L497" i="2"/>
  <c r="O497" i="2" s="1"/>
  <c r="N496" i="2"/>
  <c r="M496" i="2"/>
  <c r="P496" i="2" s="1"/>
  <c r="L496" i="2"/>
  <c r="S495" i="2"/>
  <c r="R495" i="2"/>
  <c r="U495" i="2" s="1"/>
  <c r="Q495" i="2"/>
  <c r="T495" i="2" s="1"/>
  <c r="N495" i="2"/>
  <c r="N494" i="2" s="1"/>
  <c r="M495" i="2"/>
  <c r="P495" i="2" s="1"/>
  <c r="L495" i="2"/>
  <c r="O495" i="2" s="1"/>
  <c r="J486" i="2"/>
  <c r="I486" i="2"/>
  <c r="K486" i="2" s="1"/>
  <c r="J485" i="2"/>
  <c r="I485" i="2"/>
  <c r="K485" i="2" s="1"/>
  <c r="J484" i="2"/>
  <c r="J483" i="2"/>
  <c r="K478" i="2"/>
  <c r="J478" i="2"/>
  <c r="K477" i="2"/>
  <c r="J477" i="2"/>
  <c r="K476" i="2"/>
  <c r="J476" i="2"/>
  <c r="J469" i="2"/>
  <c r="J468" i="2"/>
  <c r="J461" i="2"/>
  <c r="J459" i="2" s="1"/>
  <c r="J460" i="2"/>
  <c r="J458" i="2" s="1"/>
  <c r="J457" i="2" s="1"/>
  <c r="I459" i="2"/>
  <c r="K459" i="2" s="1"/>
  <c r="I458" i="2"/>
  <c r="J448" i="2"/>
  <c r="J447" i="2"/>
  <c r="J441" i="2" s="1"/>
  <c r="J424" i="2" s="1"/>
  <c r="J413" i="2" s="1"/>
  <c r="J442" i="2"/>
  <c r="I442" i="2"/>
  <c r="K442" i="2" s="1"/>
  <c r="I441" i="2"/>
  <c r="K441" i="2" s="1"/>
  <c r="J434" i="2"/>
  <c r="I434" i="2"/>
  <c r="K434" i="2" s="1"/>
  <c r="J433" i="2"/>
  <c r="I433" i="2"/>
  <c r="K433" i="2" s="1"/>
  <c r="J426" i="2"/>
  <c r="I426" i="2"/>
  <c r="K426" i="2" s="1"/>
  <c r="J425" i="2"/>
  <c r="I425" i="2"/>
  <c r="K425" i="2" s="1"/>
  <c r="U422" i="2"/>
  <c r="T422" i="2"/>
  <c r="P422" i="2"/>
  <c r="O422" i="2"/>
  <c r="U421" i="2"/>
  <c r="T421" i="2"/>
  <c r="P421" i="2"/>
  <c r="O421" i="2"/>
  <c r="S420" i="2"/>
  <c r="R420" i="2"/>
  <c r="U420" i="2" s="1"/>
  <c r="Q420" i="2"/>
  <c r="T420" i="2" s="1"/>
  <c r="N420" i="2"/>
  <c r="M420" i="2"/>
  <c r="P420" i="2" s="1"/>
  <c r="L420" i="2"/>
  <c r="O420" i="2" s="1"/>
  <c r="S419" i="2"/>
  <c r="R419" i="2"/>
  <c r="Q419" i="2"/>
  <c r="P419" i="2"/>
  <c r="O419" i="2"/>
  <c r="U418" i="2"/>
  <c r="T418" i="2"/>
  <c r="P418" i="2"/>
  <c r="O418" i="2"/>
  <c r="N417" i="2"/>
  <c r="M417" i="2"/>
  <c r="P417" i="2" s="1"/>
  <c r="L417" i="2"/>
  <c r="O417" i="2" s="1"/>
  <c r="N416" i="2"/>
  <c r="N414" i="2" s="1"/>
  <c r="M416" i="2"/>
  <c r="L416" i="2"/>
  <c r="O416" i="2" s="1"/>
  <c r="S415" i="2"/>
  <c r="R415" i="2"/>
  <c r="Q415" i="2"/>
  <c r="P415" i="2"/>
  <c r="N415" i="2"/>
  <c r="M415" i="2"/>
  <c r="L415" i="2"/>
  <c r="U401" i="2"/>
  <c r="T401" i="2"/>
  <c r="P401" i="2"/>
  <c r="O401" i="2"/>
  <c r="U400" i="2"/>
  <c r="T400" i="2"/>
  <c r="P400" i="2"/>
  <c r="O400" i="2"/>
  <c r="S399" i="2"/>
  <c r="R399" i="2"/>
  <c r="U399" i="2" s="1"/>
  <c r="Q399" i="2"/>
  <c r="T399" i="2" s="1"/>
  <c r="N399" i="2"/>
  <c r="M399" i="2"/>
  <c r="P399" i="2" s="1"/>
  <c r="L399" i="2"/>
  <c r="O399" i="2" s="1"/>
  <c r="U398" i="2"/>
  <c r="T398" i="2"/>
  <c r="P398" i="2"/>
  <c r="O398" i="2"/>
  <c r="U397" i="2"/>
  <c r="T397" i="2"/>
  <c r="P397" i="2"/>
  <c r="O397" i="2"/>
  <c r="S396" i="2"/>
  <c r="R396" i="2"/>
  <c r="U396" i="2" s="1"/>
  <c r="Q396" i="2"/>
  <c r="T396" i="2" s="1"/>
  <c r="N396" i="2"/>
  <c r="M396" i="2"/>
  <c r="P396" i="2" s="1"/>
  <c r="L396" i="2"/>
  <c r="O396" i="2" s="1"/>
  <c r="S395" i="2"/>
  <c r="R395" i="2"/>
  <c r="U395" i="2" s="1"/>
  <c r="Q395" i="2"/>
  <c r="N395" i="2"/>
  <c r="M395" i="2"/>
  <c r="P395" i="2" s="1"/>
  <c r="L395" i="2"/>
  <c r="U394" i="2"/>
  <c r="T394" i="2"/>
  <c r="S394" i="2"/>
  <c r="S393" i="2" s="1"/>
  <c r="R394" i="2"/>
  <c r="Q394" i="2"/>
  <c r="O394" i="2"/>
  <c r="N394" i="2"/>
  <c r="N393" i="2" s="1"/>
  <c r="M394" i="2"/>
  <c r="P394" i="2" s="1"/>
  <c r="L394" i="2"/>
  <c r="K392" i="2"/>
  <c r="J392" i="2"/>
  <c r="I392" i="2"/>
  <c r="J389" i="2"/>
  <c r="I389" i="2"/>
  <c r="K389" i="2" s="1"/>
  <c r="K388" i="2"/>
  <c r="J388" i="2"/>
  <c r="J387" i="2"/>
  <c r="I387" i="2"/>
  <c r="K386" i="2"/>
  <c r="J386" i="2"/>
  <c r="U384" i="2"/>
  <c r="T384" i="2"/>
  <c r="P384" i="2"/>
  <c r="O384" i="2"/>
  <c r="U383" i="2"/>
  <c r="T383" i="2"/>
  <c r="P383" i="2"/>
  <c r="O383" i="2"/>
  <c r="S382" i="2"/>
  <c r="R382" i="2"/>
  <c r="U382" i="2" s="1"/>
  <c r="Q382" i="2"/>
  <c r="T382" i="2" s="1"/>
  <c r="N382" i="2"/>
  <c r="M382" i="2"/>
  <c r="P382" i="2" s="1"/>
  <c r="L382" i="2"/>
  <c r="O382" i="2" s="1"/>
  <c r="S381" i="2"/>
  <c r="S379" i="2" s="1"/>
  <c r="R381" i="2"/>
  <c r="U381" i="2" s="1"/>
  <c r="Q381" i="2"/>
  <c r="P381" i="2"/>
  <c r="O381" i="2"/>
  <c r="U380" i="2"/>
  <c r="T380" i="2"/>
  <c r="P380" i="2"/>
  <c r="O380" i="2"/>
  <c r="N379" i="2"/>
  <c r="M379" i="2"/>
  <c r="P379" i="2" s="1"/>
  <c r="L379" i="2"/>
  <c r="O379" i="2" s="1"/>
  <c r="N378" i="2"/>
  <c r="M378" i="2"/>
  <c r="P378" i="2" s="1"/>
  <c r="L378" i="2"/>
  <c r="O378" i="2" s="1"/>
  <c r="S377" i="2"/>
  <c r="R377" i="2"/>
  <c r="U377" i="2" s="1"/>
  <c r="Q377" i="2"/>
  <c r="T377" i="2" s="1"/>
  <c r="N377" i="2"/>
  <c r="M377" i="2"/>
  <c r="P377" i="2" s="1"/>
  <c r="L377" i="2"/>
  <c r="O377" i="2" s="1"/>
  <c r="D374" i="2"/>
  <c r="K373" i="2"/>
  <c r="J373" i="2"/>
  <c r="J372" i="2"/>
  <c r="I372" i="2"/>
  <c r="I366" i="2" s="1"/>
  <c r="K371" i="2"/>
  <c r="J371" i="2"/>
  <c r="J370" i="2"/>
  <c r="I370" i="2"/>
  <c r="J369" i="2"/>
  <c r="I369" i="2"/>
  <c r="K368" i="2"/>
  <c r="J368" i="2"/>
  <c r="U365" i="2"/>
  <c r="T365" i="2"/>
  <c r="N365" i="2"/>
  <c r="N363" i="2" s="1"/>
  <c r="M365" i="2"/>
  <c r="P365" i="2" s="1"/>
  <c r="L365" i="2"/>
  <c r="L363" i="2" s="1"/>
  <c r="O363" i="2" s="1"/>
  <c r="U364" i="2"/>
  <c r="T364" i="2"/>
  <c r="P364" i="2"/>
  <c r="O364" i="2"/>
  <c r="U363" i="2"/>
  <c r="S363" i="2"/>
  <c r="R363" i="2"/>
  <c r="Q363" i="2"/>
  <c r="T363" i="2" s="1"/>
  <c r="U362" i="2"/>
  <c r="T362" i="2"/>
  <c r="N362" i="2"/>
  <c r="M362" i="2"/>
  <c r="M360" i="2" s="1"/>
  <c r="L362" i="2"/>
  <c r="U361" i="2"/>
  <c r="T361" i="2"/>
  <c r="P361" i="2"/>
  <c r="O361" i="2"/>
  <c r="S360" i="2"/>
  <c r="R360" i="2"/>
  <c r="U360" i="2" s="1"/>
  <c r="Q360" i="2"/>
  <c r="T360" i="2" s="1"/>
  <c r="T359" i="2"/>
  <c r="S359" i="2"/>
  <c r="R359" i="2"/>
  <c r="U359" i="2" s="1"/>
  <c r="Q359" i="2"/>
  <c r="S358" i="2"/>
  <c r="R358" i="2"/>
  <c r="Q358" i="2"/>
  <c r="Q357" i="2" s="1"/>
  <c r="T357" i="2" s="1"/>
  <c r="N358" i="2"/>
  <c r="M358" i="2"/>
  <c r="P358" i="2" s="1"/>
  <c r="L358" i="2"/>
  <c r="D355" i="2"/>
  <c r="J354" i="2"/>
  <c r="J353" i="2"/>
  <c r="D351" i="2"/>
  <c r="J350" i="2"/>
  <c r="J349" i="2"/>
  <c r="J348" i="2"/>
  <c r="J347" i="2"/>
  <c r="I347" i="2"/>
  <c r="J345" i="2"/>
  <c r="I345" i="2"/>
  <c r="I333" i="2" s="1"/>
  <c r="U342" i="2"/>
  <c r="T342" i="2"/>
  <c r="N342" i="2"/>
  <c r="M342" i="2"/>
  <c r="M340" i="2" s="1"/>
  <c r="P340" i="2" s="1"/>
  <c r="L342" i="2"/>
  <c r="L340" i="2" s="1"/>
  <c r="O340" i="2" s="1"/>
  <c r="U341" i="2"/>
  <c r="T341" i="2"/>
  <c r="P341" i="2"/>
  <c r="O341" i="2"/>
  <c r="S340" i="2"/>
  <c r="R340" i="2"/>
  <c r="U340" i="2" s="1"/>
  <c r="Q340" i="2"/>
  <c r="T340" i="2" s="1"/>
  <c r="U339" i="2"/>
  <c r="T339" i="2"/>
  <c r="N339" i="2"/>
  <c r="N337" i="2" s="1"/>
  <c r="M339" i="2"/>
  <c r="L339" i="2"/>
  <c r="L337" i="2" s="1"/>
  <c r="U338" i="2"/>
  <c r="T338" i="2"/>
  <c r="P338" i="2"/>
  <c r="O338" i="2"/>
  <c r="S337" i="2"/>
  <c r="R337" i="2"/>
  <c r="U337" i="2" s="1"/>
  <c r="Q337" i="2"/>
  <c r="T337" i="2" s="1"/>
  <c r="S336" i="2"/>
  <c r="R336" i="2"/>
  <c r="Q336" i="2"/>
  <c r="T336" i="2" s="1"/>
  <c r="S335" i="2"/>
  <c r="R335" i="2"/>
  <c r="U335" i="2" s="1"/>
  <c r="Q335" i="2"/>
  <c r="N335" i="2"/>
  <c r="M335" i="2"/>
  <c r="P335" i="2" s="1"/>
  <c r="L335" i="2"/>
  <c r="O335" i="2" s="1"/>
  <c r="I331" i="2"/>
  <c r="U329" i="2"/>
  <c r="T329" i="2"/>
  <c r="N329" i="2"/>
  <c r="N327" i="2" s="1"/>
  <c r="M329" i="2"/>
  <c r="M327" i="2" s="1"/>
  <c r="P327" i="2" s="1"/>
  <c r="L329" i="2"/>
  <c r="L327" i="2" s="1"/>
  <c r="O327" i="2" s="1"/>
  <c r="U328" i="2"/>
  <c r="T328" i="2"/>
  <c r="P328" i="2"/>
  <c r="O328" i="2"/>
  <c r="S327" i="2"/>
  <c r="R327" i="2"/>
  <c r="U327" i="2" s="1"/>
  <c r="Q327" i="2"/>
  <c r="T327" i="2" s="1"/>
  <c r="U326" i="2"/>
  <c r="T326" i="2"/>
  <c r="N326" i="2"/>
  <c r="N324" i="2" s="1"/>
  <c r="M326" i="2"/>
  <c r="P326" i="2" s="1"/>
  <c r="L326" i="2"/>
  <c r="L324" i="2" s="1"/>
  <c r="O324" i="2" s="1"/>
  <c r="U325" i="2"/>
  <c r="T325" i="2"/>
  <c r="P325" i="2"/>
  <c r="O325" i="2"/>
  <c r="T324" i="2"/>
  <c r="S324" i="2"/>
  <c r="R324" i="2"/>
  <c r="U324" i="2" s="1"/>
  <c r="Q324" i="2"/>
  <c r="S323" i="2"/>
  <c r="R323" i="2"/>
  <c r="U323" i="2" s="1"/>
  <c r="Q323" i="2"/>
  <c r="Q321" i="2" s="1"/>
  <c r="T321" i="2" s="1"/>
  <c r="S322" i="2"/>
  <c r="R322" i="2"/>
  <c r="U322" i="2" s="1"/>
  <c r="Q322" i="2"/>
  <c r="T322" i="2" s="1"/>
  <c r="N322" i="2"/>
  <c r="M322" i="2"/>
  <c r="P322" i="2" s="1"/>
  <c r="L322" i="2"/>
  <c r="O322" i="2" s="1"/>
  <c r="S321" i="2"/>
  <c r="J320" i="2"/>
  <c r="I315" i="2"/>
  <c r="K315" i="2" s="1"/>
  <c r="U312" i="2"/>
  <c r="T312" i="2"/>
  <c r="N312" i="2"/>
  <c r="N310" i="2" s="1"/>
  <c r="M312" i="2"/>
  <c r="L312" i="2"/>
  <c r="U311" i="2"/>
  <c r="T311" i="2"/>
  <c r="P311" i="2"/>
  <c r="O311" i="2"/>
  <c r="S310" i="2"/>
  <c r="R310" i="2"/>
  <c r="U310" i="2" s="1"/>
  <c r="Q310" i="2"/>
  <c r="T310" i="2" s="1"/>
  <c r="S309" i="2"/>
  <c r="R309" i="2"/>
  <c r="R306" i="2" s="1"/>
  <c r="Q309" i="2"/>
  <c r="N309" i="2"/>
  <c r="N307" i="2" s="1"/>
  <c r="M309" i="2"/>
  <c r="M307" i="2" s="1"/>
  <c r="L309" i="2"/>
  <c r="U308" i="2"/>
  <c r="T308" i="2"/>
  <c r="P308" i="2"/>
  <c r="O308" i="2"/>
  <c r="S305" i="2"/>
  <c r="R305" i="2"/>
  <c r="U305" i="2" s="1"/>
  <c r="Q305" i="2"/>
  <c r="N305" i="2"/>
  <c r="M305" i="2"/>
  <c r="P305" i="2" s="1"/>
  <c r="L305" i="2"/>
  <c r="J303" i="2"/>
  <c r="I297" i="2"/>
  <c r="K297" i="2" s="1"/>
  <c r="I296" i="2"/>
  <c r="K296" i="2" s="1"/>
  <c r="J294" i="2"/>
  <c r="J281" i="2" s="1"/>
  <c r="I294" i="2"/>
  <c r="K294" i="2" s="1"/>
  <c r="I293" i="2"/>
  <c r="U291" i="2"/>
  <c r="T291" i="2"/>
  <c r="N291" i="2"/>
  <c r="N289" i="2" s="1"/>
  <c r="M291" i="2"/>
  <c r="L291" i="2"/>
  <c r="O291" i="2" s="1"/>
  <c r="U290" i="2"/>
  <c r="T290" i="2"/>
  <c r="P290" i="2"/>
  <c r="O290" i="2"/>
  <c r="U289" i="2"/>
  <c r="S289" i="2"/>
  <c r="R289" i="2"/>
  <c r="Q289" i="2"/>
  <c r="T289" i="2" s="1"/>
  <c r="U288" i="2"/>
  <c r="T288" i="2"/>
  <c r="N288" i="2"/>
  <c r="N286" i="2" s="1"/>
  <c r="M288" i="2"/>
  <c r="L288" i="2"/>
  <c r="U287" i="2"/>
  <c r="T287" i="2"/>
  <c r="P287" i="2"/>
  <c r="O287" i="2"/>
  <c r="S286" i="2"/>
  <c r="R286" i="2"/>
  <c r="U286" i="2" s="1"/>
  <c r="Q286" i="2"/>
  <c r="T286" i="2" s="1"/>
  <c r="S285" i="2"/>
  <c r="R285" i="2"/>
  <c r="U285" i="2" s="1"/>
  <c r="Q285" i="2"/>
  <c r="T285" i="2" s="1"/>
  <c r="S284" i="2"/>
  <c r="R284" i="2"/>
  <c r="Q284" i="2"/>
  <c r="N284" i="2"/>
  <c r="M284" i="2"/>
  <c r="P284" i="2" s="1"/>
  <c r="L284" i="2"/>
  <c r="O284" i="2" s="1"/>
  <c r="J282" i="2"/>
  <c r="I277" i="2"/>
  <c r="K277" i="2" s="1"/>
  <c r="U275" i="2"/>
  <c r="T275" i="2"/>
  <c r="N275" i="2"/>
  <c r="N273" i="2" s="1"/>
  <c r="M275" i="2"/>
  <c r="P275" i="2" s="1"/>
  <c r="L275" i="2"/>
  <c r="U274" i="2"/>
  <c r="T274" i="2"/>
  <c r="P274" i="2"/>
  <c r="O274" i="2"/>
  <c r="S273" i="2"/>
  <c r="R273" i="2"/>
  <c r="U273" i="2" s="1"/>
  <c r="Q273" i="2"/>
  <c r="T273" i="2" s="1"/>
  <c r="S272" i="2"/>
  <c r="R272" i="2"/>
  <c r="R270" i="2" s="1"/>
  <c r="Q272" i="2"/>
  <c r="Q269" i="2" s="1"/>
  <c r="N272" i="2"/>
  <c r="N270" i="2" s="1"/>
  <c r="M272" i="2"/>
  <c r="M270" i="2" s="1"/>
  <c r="L272" i="2"/>
  <c r="U271" i="2"/>
  <c r="T271" i="2"/>
  <c r="P271" i="2"/>
  <c r="O271" i="2"/>
  <c r="S268" i="2"/>
  <c r="R268" i="2"/>
  <c r="U268" i="2" s="1"/>
  <c r="Q268" i="2"/>
  <c r="T268" i="2" s="1"/>
  <c r="N268" i="2"/>
  <c r="M268" i="2"/>
  <c r="P268" i="2" s="1"/>
  <c r="L268" i="2"/>
  <c r="O268" i="2" s="1"/>
  <c r="J266" i="2"/>
  <c r="K264" i="2"/>
  <c r="K263" i="2"/>
  <c r="I261" i="2"/>
  <c r="L259" i="2"/>
  <c r="L258" i="2"/>
  <c r="L257" i="2"/>
  <c r="L256" i="2"/>
  <c r="P255" i="2"/>
  <c r="N255" i="2"/>
  <c r="J254" i="2"/>
  <c r="K253" i="2"/>
  <c r="K252" i="2"/>
  <c r="I250" i="2"/>
  <c r="K250" i="2" s="1"/>
  <c r="L248" i="2"/>
  <c r="L247" i="2"/>
  <c r="L246" i="2"/>
  <c r="L245" i="2"/>
  <c r="P244" i="2"/>
  <c r="N244" i="2"/>
  <c r="N233" i="2" s="1"/>
  <c r="J243" i="2"/>
  <c r="J242" i="2"/>
  <c r="I242" i="2"/>
  <c r="K242" i="2" s="1"/>
  <c r="J241" i="2"/>
  <c r="I241" i="2"/>
  <c r="K241" i="2" s="1"/>
  <c r="J239" i="2"/>
  <c r="N237" i="2"/>
  <c r="N236" i="2"/>
  <c r="N235" i="2"/>
  <c r="N234" i="2"/>
  <c r="I231" i="2"/>
  <c r="I230" i="2"/>
  <c r="I222" i="2" s="1"/>
  <c r="K222" i="2" s="1"/>
  <c r="I229" i="2"/>
  <c r="K229" i="2" s="1"/>
  <c r="L226" i="2"/>
  <c r="L225" i="2"/>
  <c r="L224" i="2"/>
  <c r="P223" i="2"/>
  <c r="N223" i="2"/>
  <c r="J222" i="2"/>
  <c r="I221" i="2"/>
  <c r="K221" i="2" s="1"/>
  <c r="I220" i="2"/>
  <c r="K220" i="2" s="1"/>
  <c r="L218" i="2"/>
  <c r="L217" i="2"/>
  <c r="L216" i="2"/>
  <c r="P215" i="2"/>
  <c r="N215" i="2"/>
  <c r="J214" i="2"/>
  <c r="I213" i="2"/>
  <c r="K213" i="2" s="1"/>
  <c r="I212" i="2"/>
  <c r="K212" i="2" s="1"/>
  <c r="I210" i="2"/>
  <c r="L208" i="2"/>
  <c r="L207" i="2"/>
  <c r="L206" i="2"/>
  <c r="L205" i="2"/>
  <c r="P204" i="2"/>
  <c r="N204" i="2"/>
  <c r="J203" i="2"/>
  <c r="J200" i="2"/>
  <c r="I199" i="2"/>
  <c r="K199" i="2" s="1"/>
  <c r="P197" i="2"/>
  <c r="L197" i="2"/>
  <c r="O197" i="2" s="1"/>
  <c r="J196" i="2"/>
  <c r="U195" i="2"/>
  <c r="T195" i="2"/>
  <c r="N195" i="2"/>
  <c r="N193" i="2" s="1"/>
  <c r="M195" i="2"/>
  <c r="P195" i="2" s="1"/>
  <c r="L195" i="2"/>
  <c r="L193" i="2" s="1"/>
  <c r="O193" i="2" s="1"/>
  <c r="U194" i="2"/>
  <c r="T194" i="2"/>
  <c r="P194" i="2"/>
  <c r="O194" i="2"/>
  <c r="S193" i="2"/>
  <c r="R193" i="2"/>
  <c r="U193" i="2" s="1"/>
  <c r="Q193" i="2"/>
  <c r="T193" i="2" s="1"/>
  <c r="S192" i="2"/>
  <c r="S189" i="2" s="1"/>
  <c r="R192" i="2"/>
  <c r="R190" i="2" s="1"/>
  <c r="Q192" i="2"/>
  <c r="N192" i="2"/>
  <c r="N190" i="2" s="1"/>
  <c r="M192" i="2"/>
  <c r="M190" i="2" s="1"/>
  <c r="L192" i="2"/>
  <c r="U191" i="2"/>
  <c r="T191" i="2"/>
  <c r="P191" i="2"/>
  <c r="O191" i="2"/>
  <c r="S188" i="2"/>
  <c r="R188" i="2"/>
  <c r="Q188" i="2"/>
  <c r="T188" i="2" s="1"/>
  <c r="N188" i="2"/>
  <c r="M188" i="2"/>
  <c r="P188" i="2" s="1"/>
  <c r="L188" i="2"/>
  <c r="K185" i="2"/>
  <c r="I184" i="2"/>
  <c r="K184" i="2" s="1"/>
  <c r="U182" i="2"/>
  <c r="T182" i="2"/>
  <c r="N182" i="2"/>
  <c r="N180" i="2" s="1"/>
  <c r="M182" i="2"/>
  <c r="P182" i="2" s="1"/>
  <c r="L182" i="2"/>
  <c r="L180" i="2" s="1"/>
  <c r="O180" i="2" s="1"/>
  <c r="U181" i="2"/>
  <c r="T181" i="2"/>
  <c r="P181" i="2"/>
  <c r="O181" i="2"/>
  <c r="S180" i="2"/>
  <c r="R180" i="2"/>
  <c r="U180" i="2" s="1"/>
  <c r="Q180" i="2"/>
  <c r="T180" i="2" s="1"/>
  <c r="S179" i="2"/>
  <c r="R179" i="2"/>
  <c r="R177" i="2" s="1"/>
  <c r="U177" i="2" s="1"/>
  <c r="Q179" i="2"/>
  <c r="T179" i="2" s="1"/>
  <c r="N179" i="2"/>
  <c r="M179" i="2"/>
  <c r="L179" i="2"/>
  <c r="L177" i="2" s="1"/>
  <c r="U178" i="2"/>
  <c r="T178" i="2"/>
  <c r="P178" i="2"/>
  <c r="O178" i="2"/>
  <c r="S175" i="2"/>
  <c r="R175" i="2"/>
  <c r="U175" i="2" s="1"/>
  <c r="Q175" i="2"/>
  <c r="T175" i="2" s="1"/>
  <c r="N175" i="2"/>
  <c r="M175" i="2"/>
  <c r="L175" i="2"/>
  <c r="O175" i="2" s="1"/>
  <c r="J173" i="2"/>
  <c r="I170" i="2"/>
  <c r="K170" i="2" s="1"/>
  <c r="I169" i="2"/>
  <c r="K169" i="2" s="1"/>
  <c r="I168" i="2"/>
  <c r="K168" i="2" s="1"/>
  <c r="U166" i="2"/>
  <c r="T166" i="2"/>
  <c r="N166" i="2"/>
  <c r="N164" i="2" s="1"/>
  <c r="M166" i="2"/>
  <c r="P166" i="2" s="1"/>
  <c r="L166" i="2"/>
  <c r="L164" i="2" s="1"/>
  <c r="O164" i="2" s="1"/>
  <c r="U165" i="2"/>
  <c r="T165" i="2"/>
  <c r="P165" i="2"/>
  <c r="O165" i="2"/>
  <c r="S164" i="2"/>
  <c r="R164" i="2"/>
  <c r="U164" i="2" s="1"/>
  <c r="Q164" i="2"/>
  <c r="T164" i="2" s="1"/>
  <c r="S163" i="2"/>
  <c r="R163" i="2"/>
  <c r="N163" i="2"/>
  <c r="M163" i="2"/>
  <c r="L163" i="2"/>
  <c r="O163" i="2" s="1"/>
  <c r="U162" i="2"/>
  <c r="T162" i="2"/>
  <c r="P162" i="2"/>
  <c r="O162" i="2"/>
  <c r="S159" i="2"/>
  <c r="R159" i="2"/>
  <c r="U159" i="2" s="1"/>
  <c r="Q159" i="2"/>
  <c r="O159" i="2"/>
  <c r="N159" i="2"/>
  <c r="M159" i="2"/>
  <c r="L159" i="2"/>
  <c r="J157" i="2"/>
  <c r="I155" i="2"/>
  <c r="I154" i="2"/>
  <c r="K154" i="2" s="1"/>
  <c r="I153" i="2"/>
  <c r="K153" i="2" s="1"/>
  <c r="I152" i="2"/>
  <c r="K152" i="2" s="1"/>
  <c r="I151" i="2"/>
  <c r="K151" i="2" s="1"/>
  <c r="U148" i="2"/>
  <c r="T148" i="2"/>
  <c r="N148" i="2"/>
  <c r="N146" i="2" s="1"/>
  <c r="M148" i="2"/>
  <c r="L148" i="2"/>
  <c r="L146" i="2" s="1"/>
  <c r="O146" i="2" s="1"/>
  <c r="U147" i="2"/>
  <c r="T147" i="2"/>
  <c r="P147" i="2"/>
  <c r="O147" i="2"/>
  <c r="U146" i="2"/>
  <c r="S146" i="2"/>
  <c r="R146" i="2"/>
  <c r="Q146" i="2"/>
  <c r="T146" i="2" s="1"/>
  <c r="S145" i="2"/>
  <c r="S143" i="2" s="1"/>
  <c r="R145" i="2"/>
  <c r="Q145" i="2"/>
  <c r="T145" i="2" s="1"/>
  <c r="N145" i="2"/>
  <c r="M145" i="2"/>
  <c r="M143" i="2" s="1"/>
  <c r="P143" i="2" s="1"/>
  <c r="L145" i="2"/>
  <c r="L143" i="2" s="1"/>
  <c r="O143" i="2" s="1"/>
  <c r="U144" i="2"/>
  <c r="T144" i="2"/>
  <c r="P144" i="2"/>
  <c r="O144" i="2"/>
  <c r="S141" i="2"/>
  <c r="R141" i="2"/>
  <c r="U141" i="2" s="1"/>
  <c r="Q141" i="2"/>
  <c r="T141" i="2" s="1"/>
  <c r="N141" i="2"/>
  <c r="M141" i="2"/>
  <c r="L141" i="2"/>
  <c r="O141" i="2" s="1"/>
  <c r="J139" i="2"/>
  <c r="J138" i="2"/>
  <c r="J137" i="2"/>
  <c r="I131" i="2"/>
  <c r="K131" i="2" s="1"/>
  <c r="I130" i="2"/>
  <c r="K130" i="2" s="1"/>
  <c r="I129" i="2"/>
  <c r="K129" i="2" s="1"/>
  <c r="I128" i="2"/>
  <c r="U126" i="2"/>
  <c r="T126" i="2"/>
  <c r="N126" i="2"/>
  <c r="N124" i="2" s="1"/>
  <c r="M126" i="2"/>
  <c r="L126" i="2"/>
  <c r="U125" i="2"/>
  <c r="T125" i="2"/>
  <c r="P125" i="2"/>
  <c r="O125" i="2"/>
  <c r="S124" i="2"/>
  <c r="R124" i="2"/>
  <c r="U124" i="2" s="1"/>
  <c r="Q124" i="2"/>
  <c r="T124" i="2" s="1"/>
  <c r="S123" i="2"/>
  <c r="R123" i="2"/>
  <c r="R121" i="2" s="1"/>
  <c r="Q123" i="2"/>
  <c r="N123" i="2"/>
  <c r="N121" i="2" s="1"/>
  <c r="M123" i="2"/>
  <c r="P123" i="2" s="1"/>
  <c r="L123" i="2"/>
  <c r="U122" i="2"/>
  <c r="T122" i="2"/>
  <c r="P122" i="2"/>
  <c r="O122" i="2"/>
  <c r="S119" i="2"/>
  <c r="R119" i="2"/>
  <c r="U119" i="2" s="1"/>
  <c r="Q119" i="2"/>
  <c r="T119" i="2" s="1"/>
  <c r="N119" i="2"/>
  <c r="M119" i="2"/>
  <c r="P119" i="2" s="1"/>
  <c r="L119" i="2"/>
  <c r="J117" i="2"/>
  <c r="I115" i="2"/>
  <c r="K115" i="2" s="1"/>
  <c r="I110" i="2"/>
  <c r="I109" i="2"/>
  <c r="K109" i="2" s="1"/>
  <c r="U103" i="2"/>
  <c r="T103" i="2"/>
  <c r="N103" i="2"/>
  <c r="N101" i="2" s="1"/>
  <c r="M103" i="2"/>
  <c r="P103" i="2" s="1"/>
  <c r="L103" i="2"/>
  <c r="L101" i="2" s="1"/>
  <c r="O101" i="2" s="1"/>
  <c r="U102" i="2"/>
  <c r="T102" i="2"/>
  <c r="P102" i="2"/>
  <c r="O102" i="2"/>
  <c r="S101" i="2"/>
  <c r="R101" i="2"/>
  <c r="U101" i="2" s="1"/>
  <c r="Q101" i="2"/>
  <c r="T101" i="2" s="1"/>
  <c r="S100" i="2"/>
  <c r="R100" i="2"/>
  <c r="R98" i="2" s="1"/>
  <c r="U98" i="2" s="1"/>
  <c r="N100" i="2"/>
  <c r="N98" i="2" s="1"/>
  <c r="M100" i="2"/>
  <c r="L100" i="2"/>
  <c r="U99" i="2"/>
  <c r="T99" i="2"/>
  <c r="P99" i="2"/>
  <c r="O99" i="2"/>
  <c r="U96" i="2"/>
  <c r="S96" i="2"/>
  <c r="R96" i="2"/>
  <c r="Q96" i="2"/>
  <c r="T96" i="2" s="1"/>
  <c r="P96" i="2"/>
  <c r="N96" i="2"/>
  <c r="M96" i="2"/>
  <c r="L96" i="2"/>
  <c r="O96" i="2" s="1"/>
  <c r="J94" i="2"/>
  <c r="J93" i="2"/>
  <c r="I91" i="2"/>
  <c r="K91" i="2" s="1"/>
  <c r="I90" i="2"/>
  <c r="K90" i="2" s="1"/>
  <c r="I89" i="2"/>
  <c r="K89" i="2" s="1"/>
  <c r="I88" i="2"/>
  <c r="K88" i="2" s="1"/>
  <c r="I87" i="2"/>
  <c r="K87" i="2" s="1"/>
  <c r="I86" i="2"/>
  <c r="I85" i="2"/>
  <c r="K85" i="2" s="1"/>
  <c r="J84" i="2"/>
  <c r="J72" i="2" s="1"/>
  <c r="J83" i="2"/>
  <c r="U81" i="2"/>
  <c r="T81" i="2"/>
  <c r="N81" i="2"/>
  <c r="N79" i="2" s="1"/>
  <c r="M81" i="2"/>
  <c r="P81" i="2" s="1"/>
  <c r="L81" i="2"/>
  <c r="U80" i="2"/>
  <c r="T80" i="2"/>
  <c r="P80" i="2"/>
  <c r="O80" i="2"/>
  <c r="U79" i="2"/>
  <c r="S79" i="2"/>
  <c r="R79" i="2"/>
  <c r="Q79" i="2"/>
  <c r="T79" i="2" s="1"/>
  <c r="S78" i="2"/>
  <c r="S75" i="2" s="1"/>
  <c r="R78" i="2"/>
  <c r="R75" i="2" s="1"/>
  <c r="U75" i="2" s="1"/>
  <c r="N78" i="2"/>
  <c r="N76" i="2" s="1"/>
  <c r="M78" i="2"/>
  <c r="P78" i="2" s="1"/>
  <c r="L78" i="2"/>
  <c r="L76" i="2" s="1"/>
  <c r="O76" i="2" s="1"/>
  <c r="U77" i="2"/>
  <c r="T77" i="2"/>
  <c r="P77" i="2"/>
  <c r="O77" i="2"/>
  <c r="S74" i="2"/>
  <c r="R74" i="2"/>
  <c r="Q74" i="2"/>
  <c r="T74" i="2" s="1"/>
  <c r="N74" i="2"/>
  <c r="M74" i="2"/>
  <c r="P74" i="2" s="1"/>
  <c r="L74" i="2"/>
  <c r="O74" i="2" s="1"/>
  <c r="J71" i="2"/>
  <c r="U68" i="2"/>
  <c r="T68" i="2"/>
  <c r="N68" i="2"/>
  <c r="N66" i="2" s="1"/>
  <c r="M68" i="2"/>
  <c r="P68" i="2" s="1"/>
  <c r="L68" i="2"/>
  <c r="L66" i="2" s="1"/>
  <c r="O66" i="2" s="1"/>
  <c r="U67" i="2"/>
  <c r="T67" i="2"/>
  <c r="P67" i="2"/>
  <c r="O67" i="2"/>
  <c r="T66" i="2"/>
  <c r="S66" i="2"/>
  <c r="R66" i="2"/>
  <c r="U66" i="2" s="1"/>
  <c r="Q66" i="2"/>
  <c r="U65" i="2"/>
  <c r="T65" i="2"/>
  <c r="N65" i="2"/>
  <c r="N63" i="2" s="1"/>
  <c r="M65" i="2"/>
  <c r="M63" i="2" s="1"/>
  <c r="L65" i="2"/>
  <c r="L63" i="2" s="1"/>
  <c r="U64" i="2"/>
  <c r="T64" i="2"/>
  <c r="P64" i="2"/>
  <c r="O64" i="2"/>
  <c r="U63" i="2"/>
  <c r="S63" i="2"/>
  <c r="R63" i="2"/>
  <c r="Q63" i="2"/>
  <c r="T63" i="2" s="1"/>
  <c r="S62" i="2"/>
  <c r="S60" i="2" s="1"/>
  <c r="R62" i="2"/>
  <c r="U62" i="2" s="1"/>
  <c r="Q62" i="2"/>
  <c r="T62" i="2" s="1"/>
  <c r="S61" i="2"/>
  <c r="R61" i="2"/>
  <c r="Q61" i="2"/>
  <c r="T61" i="2" s="1"/>
  <c r="N61" i="2"/>
  <c r="M61" i="2"/>
  <c r="P61" i="2" s="1"/>
  <c r="L61" i="2"/>
  <c r="O61" i="2" s="1"/>
  <c r="U53" i="2"/>
  <c r="T53" i="2"/>
  <c r="N53" i="2"/>
  <c r="N51" i="2" s="1"/>
  <c r="M53" i="2"/>
  <c r="P53" i="2" s="1"/>
  <c r="L53" i="2"/>
  <c r="L51" i="2" s="1"/>
  <c r="O51" i="2" s="1"/>
  <c r="U52" i="2"/>
  <c r="T52" i="2"/>
  <c r="P52" i="2"/>
  <c r="O52" i="2"/>
  <c r="S51" i="2"/>
  <c r="R51" i="2"/>
  <c r="U51" i="2" s="1"/>
  <c r="Q51" i="2"/>
  <c r="T51" i="2" s="1"/>
  <c r="U50" i="2"/>
  <c r="T50" i="2"/>
  <c r="N50" i="2"/>
  <c r="N48" i="2" s="1"/>
  <c r="M50" i="2"/>
  <c r="L50" i="2"/>
  <c r="L48" i="2" s="1"/>
  <c r="U49" i="2"/>
  <c r="T49" i="2"/>
  <c r="P49" i="2"/>
  <c r="O49" i="2"/>
  <c r="U48" i="2"/>
  <c r="S48" i="2"/>
  <c r="R48" i="2"/>
  <c r="Q48" i="2"/>
  <c r="T48" i="2" s="1"/>
  <c r="S47" i="2"/>
  <c r="S45" i="2" s="1"/>
  <c r="R47" i="2"/>
  <c r="U47" i="2" s="1"/>
  <c r="Q47" i="2"/>
  <c r="T47" i="2" s="1"/>
  <c r="S46" i="2"/>
  <c r="R46" i="2"/>
  <c r="Q46" i="2"/>
  <c r="T46" i="2" s="1"/>
  <c r="O46" i="2"/>
  <c r="N46" i="2"/>
  <c r="M46" i="2"/>
  <c r="P46" i="2" s="1"/>
  <c r="L46" i="2"/>
  <c r="S27" i="2"/>
  <c r="R27" i="2"/>
  <c r="U27" i="2" s="1"/>
  <c r="Q27" i="2"/>
  <c r="T27" i="2" s="1"/>
  <c r="S26" i="2"/>
  <c r="R26" i="2"/>
  <c r="Q26" i="2"/>
  <c r="T26" i="2" s="1"/>
  <c r="N26" i="2"/>
  <c r="M26" i="2"/>
  <c r="P26" i="2" s="1"/>
  <c r="L26" i="2"/>
  <c r="O26" i="2" s="1"/>
  <c r="S23" i="2"/>
  <c r="R23" i="2"/>
  <c r="U23" i="2" s="1"/>
  <c r="Q23" i="2"/>
  <c r="T23" i="2" s="1"/>
  <c r="N23" i="2"/>
  <c r="M23" i="2"/>
  <c r="P23" i="2" s="1"/>
  <c r="L23" i="2"/>
  <c r="O23" i="2" s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I758" i="1" s="1"/>
  <c r="J770" i="1"/>
  <c r="I770" i="1"/>
  <c r="K770" i="1" s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T767" i="1" s="1"/>
  <c r="N767" i="1"/>
  <c r="M767" i="1"/>
  <c r="P767" i="1" s="1"/>
  <c r="L767" i="1"/>
  <c r="O767" i="1" s="1"/>
  <c r="S765" i="1"/>
  <c r="R765" i="1"/>
  <c r="Q765" i="1"/>
  <c r="N765" i="1"/>
  <c r="M765" i="1"/>
  <c r="P765" i="1" s="1"/>
  <c r="L765" i="1"/>
  <c r="S764" i="1"/>
  <c r="R764" i="1"/>
  <c r="U764" i="1" s="1"/>
  <c r="Q764" i="1"/>
  <c r="T764" i="1" s="1"/>
  <c r="N764" i="1"/>
  <c r="M764" i="1"/>
  <c r="P764" i="1" s="1"/>
  <c r="L764" i="1"/>
  <c r="O764" i="1" s="1"/>
  <c r="J757" i="1"/>
  <c r="J756" i="1"/>
  <c r="I756" i="1"/>
  <c r="J754" i="1"/>
  <c r="J753" i="1"/>
  <c r="I753" i="1"/>
  <c r="J750" i="1"/>
  <c r="I750" i="1"/>
  <c r="J749" i="1"/>
  <c r="J747" i="1"/>
  <c r="I747" i="1"/>
  <c r="J746" i="1"/>
  <c r="J745" i="1"/>
  <c r="I745" i="1"/>
  <c r="J743" i="1"/>
  <c r="I743" i="1"/>
  <c r="J742" i="1"/>
  <c r="J741" i="1"/>
  <c r="I741" i="1"/>
  <c r="S737" i="1"/>
  <c r="R737" i="1"/>
  <c r="U737" i="1" s="1"/>
  <c r="Q737" i="1"/>
  <c r="T737" i="1" s="1"/>
  <c r="N737" i="1"/>
  <c r="M737" i="1"/>
  <c r="P737" i="1" s="1"/>
  <c r="L737" i="1"/>
  <c r="O737" i="1" s="1"/>
  <c r="S736" i="1"/>
  <c r="R736" i="1"/>
  <c r="U736" i="1" s="1"/>
  <c r="Q736" i="1"/>
  <c r="T736" i="1" s="1"/>
  <c r="N736" i="1"/>
  <c r="M736" i="1"/>
  <c r="P736" i="1" s="1"/>
  <c r="L736" i="1"/>
  <c r="O736" i="1" s="1"/>
  <c r="S734" i="1"/>
  <c r="R734" i="1"/>
  <c r="Q734" i="1"/>
  <c r="N734" i="1"/>
  <c r="M734" i="1"/>
  <c r="P734" i="1" s="1"/>
  <c r="L734" i="1"/>
  <c r="O734" i="1" s="1"/>
  <c r="S733" i="1"/>
  <c r="R733" i="1"/>
  <c r="Q733" i="1"/>
  <c r="T733" i="1" s="1"/>
  <c r="N733" i="1"/>
  <c r="M733" i="1"/>
  <c r="L733" i="1"/>
  <c r="O733" i="1" s="1"/>
  <c r="I728" i="1"/>
  <c r="I727" i="1"/>
  <c r="S723" i="1"/>
  <c r="R723" i="1"/>
  <c r="U723" i="1" s="1"/>
  <c r="Q723" i="1"/>
  <c r="T723" i="1" s="1"/>
  <c r="N723" i="1"/>
  <c r="M723" i="1"/>
  <c r="P723" i="1" s="1"/>
  <c r="L723" i="1"/>
  <c r="O723" i="1" s="1"/>
  <c r="S722" i="1"/>
  <c r="R722" i="1"/>
  <c r="U722" i="1" s="1"/>
  <c r="Q722" i="1"/>
  <c r="T722" i="1" s="1"/>
  <c r="N722" i="1"/>
  <c r="M722" i="1"/>
  <c r="P722" i="1" s="1"/>
  <c r="L722" i="1"/>
  <c r="O722" i="1" s="1"/>
  <c r="S720" i="1"/>
  <c r="R720" i="1"/>
  <c r="U720" i="1" s="1"/>
  <c r="Q720" i="1"/>
  <c r="T720" i="1" s="1"/>
  <c r="N720" i="1"/>
  <c r="M720" i="1"/>
  <c r="L720" i="1"/>
  <c r="O720" i="1" s="1"/>
  <c r="S719" i="1"/>
  <c r="R719" i="1"/>
  <c r="Q719" i="1"/>
  <c r="T719" i="1" s="1"/>
  <c r="N719" i="1"/>
  <c r="M719" i="1"/>
  <c r="P719" i="1" s="1"/>
  <c r="L719" i="1"/>
  <c r="K713" i="1"/>
  <c r="J713" i="1"/>
  <c r="K711" i="1"/>
  <c r="J711" i="1"/>
  <c r="J710" i="1"/>
  <c r="I710" i="1"/>
  <c r="K709" i="1"/>
  <c r="J709" i="1"/>
  <c r="J708" i="1"/>
  <c r="J690" i="1" s="1"/>
  <c r="I708" i="1"/>
  <c r="I690" i="1" s="1"/>
  <c r="K707" i="1"/>
  <c r="J707" i="1"/>
  <c r="J706" i="1"/>
  <c r="I706" i="1"/>
  <c r="K705" i="1"/>
  <c r="J705" i="1"/>
  <c r="J704" i="1"/>
  <c r="I704" i="1"/>
  <c r="K703" i="1"/>
  <c r="J701" i="1"/>
  <c r="I701" i="1"/>
  <c r="S699" i="1"/>
  <c r="R699" i="1"/>
  <c r="U699" i="1" s="1"/>
  <c r="Q699" i="1"/>
  <c r="T699" i="1" s="1"/>
  <c r="N699" i="1"/>
  <c r="M699" i="1"/>
  <c r="L699" i="1"/>
  <c r="O699" i="1" s="1"/>
  <c r="S698" i="1"/>
  <c r="R698" i="1"/>
  <c r="Q698" i="1"/>
  <c r="T698" i="1" s="1"/>
  <c r="N698" i="1"/>
  <c r="M698" i="1"/>
  <c r="P698" i="1" s="1"/>
  <c r="L698" i="1"/>
  <c r="S696" i="1"/>
  <c r="S693" i="1" s="1"/>
  <c r="R696" i="1"/>
  <c r="Q696" i="1"/>
  <c r="N696" i="1"/>
  <c r="M696" i="1"/>
  <c r="L696" i="1"/>
  <c r="O696" i="1" s="1"/>
  <c r="S695" i="1"/>
  <c r="S692" i="1" s="1"/>
  <c r="R695" i="1"/>
  <c r="Q695" i="1"/>
  <c r="N695" i="1"/>
  <c r="M695" i="1"/>
  <c r="P695" i="1" s="1"/>
  <c r="L695" i="1"/>
  <c r="J689" i="1"/>
  <c r="J688" i="1"/>
  <c r="J687" i="1"/>
  <c r="J686" i="1"/>
  <c r="J685" i="1"/>
  <c r="J684" i="1"/>
  <c r="I683" i="1"/>
  <c r="J682" i="1"/>
  <c r="I682" i="1"/>
  <c r="J681" i="1"/>
  <c r="J680" i="1"/>
  <c r="I680" i="1"/>
  <c r="J679" i="1"/>
  <c r="I679" i="1"/>
  <c r="J678" i="1"/>
  <c r="J677" i="1"/>
  <c r="I677" i="1"/>
  <c r="I676" i="1"/>
  <c r="I675" i="1"/>
  <c r="J674" i="1"/>
  <c r="I674" i="1"/>
  <c r="J673" i="1"/>
  <c r="J672" i="1"/>
  <c r="J671" i="1"/>
  <c r="J670" i="1"/>
  <c r="J669" i="1"/>
  <c r="J668" i="1"/>
  <c r="J667" i="1"/>
  <c r="J666" i="1"/>
  <c r="J664" i="1"/>
  <c r="J663" i="1"/>
  <c r="I662" i="1"/>
  <c r="J661" i="1"/>
  <c r="I661" i="1"/>
  <c r="J660" i="1"/>
  <c r="J659" i="1"/>
  <c r="J658" i="1"/>
  <c r="I658" i="1"/>
  <c r="J657" i="1"/>
  <c r="J656" i="1"/>
  <c r="I655" i="1"/>
  <c r="J654" i="1"/>
  <c r="I654" i="1"/>
  <c r="J653" i="1"/>
  <c r="I653" i="1"/>
  <c r="K653" i="1" s="1"/>
  <c r="S651" i="1"/>
  <c r="R651" i="1"/>
  <c r="Q651" i="1"/>
  <c r="T651" i="1" s="1"/>
  <c r="N651" i="1"/>
  <c r="M651" i="1"/>
  <c r="P651" i="1" s="1"/>
  <c r="L651" i="1"/>
  <c r="S650" i="1"/>
  <c r="R650" i="1"/>
  <c r="U650" i="1" s="1"/>
  <c r="Q650" i="1"/>
  <c r="N650" i="1"/>
  <c r="M650" i="1"/>
  <c r="L650" i="1"/>
  <c r="O650" i="1" s="1"/>
  <c r="S648" i="1"/>
  <c r="R648" i="1"/>
  <c r="Q648" i="1"/>
  <c r="N648" i="1"/>
  <c r="M648" i="1"/>
  <c r="P648" i="1" s="1"/>
  <c r="L648" i="1"/>
  <c r="O648" i="1" s="1"/>
  <c r="S647" i="1"/>
  <c r="R647" i="1"/>
  <c r="Q647" i="1"/>
  <c r="N647" i="1"/>
  <c r="M647" i="1"/>
  <c r="P647" i="1" s="1"/>
  <c r="L647" i="1"/>
  <c r="J641" i="1"/>
  <c r="J640" i="1"/>
  <c r="J639" i="1"/>
  <c r="J638" i="1"/>
  <c r="I636" i="1"/>
  <c r="K636" i="1" s="1"/>
  <c r="J635" i="1"/>
  <c r="J634" i="1"/>
  <c r="J632" i="1"/>
  <c r="J631" i="1"/>
  <c r="J630" i="1"/>
  <c r="J629" i="1"/>
  <c r="I629" i="1"/>
  <c r="J628" i="1"/>
  <c r="I628" i="1"/>
  <c r="I627" i="1"/>
  <c r="S625" i="1"/>
  <c r="R625" i="1"/>
  <c r="U625" i="1" s="1"/>
  <c r="Q625" i="1"/>
  <c r="T625" i="1" s="1"/>
  <c r="N625" i="1"/>
  <c r="M625" i="1"/>
  <c r="P625" i="1" s="1"/>
  <c r="L625" i="1"/>
  <c r="S624" i="1"/>
  <c r="R624" i="1"/>
  <c r="Q624" i="1"/>
  <c r="T624" i="1" s="1"/>
  <c r="N624" i="1"/>
  <c r="M624" i="1"/>
  <c r="L624" i="1"/>
  <c r="O624" i="1" s="1"/>
  <c r="S622" i="1"/>
  <c r="R622" i="1"/>
  <c r="Q622" i="1"/>
  <c r="N622" i="1"/>
  <c r="M622" i="1"/>
  <c r="L622" i="1"/>
  <c r="O622" i="1" s="1"/>
  <c r="S621" i="1"/>
  <c r="R621" i="1"/>
  <c r="Q621" i="1"/>
  <c r="N621" i="1"/>
  <c r="M621" i="1"/>
  <c r="P621" i="1" s="1"/>
  <c r="L621" i="1"/>
  <c r="S608" i="1"/>
  <c r="R608" i="1"/>
  <c r="U608" i="1" s="1"/>
  <c r="Q608" i="1"/>
  <c r="T608" i="1" s="1"/>
  <c r="N608" i="1"/>
  <c r="M608" i="1"/>
  <c r="P608" i="1" s="1"/>
  <c r="L608" i="1"/>
  <c r="O608" i="1" s="1"/>
  <c r="S607" i="1"/>
  <c r="R607" i="1"/>
  <c r="Q607" i="1"/>
  <c r="T607" i="1" s="1"/>
  <c r="N607" i="1"/>
  <c r="M607" i="1"/>
  <c r="L607" i="1"/>
  <c r="S605" i="1"/>
  <c r="R605" i="1"/>
  <c r="Q605" i="1"/>
  <c r="N605" i="1"/>
  <c r="M605" i="1"/>
  <c r="L605" i="1"/>
  <c r="O605" i="1" s="1"/>
  <c r="S604" i="1"/>
  <c r="R604" i="1"/>
  <c r="Q604" i="1"/>
  <c r="N604" i="1"/>
  <c r="M604" i="1"/>
  <c r="L604" i="1"/>
  <c r="O604" i="1" s="1"/>
  <c r="S585" i="1"/>
  <c r="R585" i="1"/>
  <c r="Q585" i="1"/>
  <c r="T585" i="1" s="1"/>
  <c r="N585" i="1"/>
  <c r="M585" i="1"/>
  <c r="P585" i="1" s="1"/>
  <c r="L585" i="1"/>
  <c r="O585" i="1" s="1"/>
  <c r="S584" i="1"/>
  <c r="R584" i="1"/>
  <c r="U584" i="1" s="1"/>
  <c r="Q584" i="1"/>
  <c r="N584" i="1"/>
  <c r="M584" i="1"/>
  <c r="P584" i="1" s="1"/>
  <c r="L584" i="1"/>
  <c r="S582" i="1"/>
  <c r="R582" i="1"/>
  <c r="U582" i="1" s="1"/>
  <c r="Q582" i="1"/>
  <c r="N582" i="1"/>
  <c r="M582" i="1"/>
  <c r="P582" i="1" s="1"/>
  <c r="L582" i="1"/>
  <c r="O582" i="1" s="1"/>
  <c r="S581" i="1"/>
  <c r="R581" i="1"/>
  <c r="U581" i="1" s="1"/>
  <c r="Q581" i="1"/>
  <c r="T581" i="1" s="1"/>
  <c r="N581" i="1"/>
  <c r="M581" i="1"/>
  <c r="L581" i="1"/>
  <c r="O581" i="1" s="1"/>
  <c r="K576" i="1"/>
  <c r="J576" i="1"/>
  <c r="I576" i="1"/>
  <c r="S564" i="1"/>
  <c r="R564" i="1"/>
  <c r="U564" i="1" s="1"/>
  <c r="Q564" i="1"/>
  <c r="T564" i="1" s="1"/>
  <c r="N564" i="1"/>
  <c r="M564" i="1"/>
  <c r="P564" i="1" s="1"/>
  <c r="L564" i="1"/>
  <c r="O564" i="1" s="1"/>
  <c r="S563" i="1"/>
  <c r="R563" i="1"/>
  <c r="Q563" i="1"/>
  <c r="N563" i="1"/>
  <c r="M563" i="1"/>
  <c r="P563" i="1" s="1"/>
  <c r="L563" i="1"/>
  <c r="S561" i="1"/>
  <c r="R561" i="1"/>
  <c r="Q561" i="1"/>
  <c r="T561" i="1" s="1"/>
  <c r="N561" i="1"/>
  <c r="M561" i="1"/>
  <c r="P561" i="1" s="1"/>
  <c r="L561" i="1"/>
  <c r="O561" i="1" s="1"/>
  <c r="S560" i="1"/>
  <c r="R560" i="1"/>
  <c r="Q560" i="1"/>
  <c r="T560" i="1" s="1"/>
  <c r="N560" i="1"/>
  <c r="M560" i="1"/>
  <c r="P560" i="1" s="1"/>
  <c r="L560" i="1"/>
  <c r="J555" i="1"/>
  <c r="I555" i="1"/>
  <c r="K555" i="1" s="1"/>
  <c r="S543" i="1"/>
  <c r="R543" i="1"/>
  <c r="U543" i="1" s="1"/>
  <c r="Q543" i="1"/>
  <c r="N543" i="1"/>
  <c r="M543" i="1"/>
  <c r="P543" i="1" s="1"/>
  <c r="L543" i="1"/>
  <c r="O543" i="1" s="1"/>
  <c r="S542" i="1"/>
  <c r="R542" i="1"/>
  <c r="U542" i="1" s="1"/>
  <c r="Q542" i="1"/>
  <c r="T542" i="1" s="1"/>
  <c r="N542" i="1"/>
  <c r="M542" i="1"/>
  <c r="L542" i="1"/>
  <c r="S540" i="1"/>
  <c r="S537" i="1" s="1"/>
  <c r="R540" i="1"/>
  <c r="U540" i="1" s="1"/>
  <c r="Q540" i="1"/>
  <c r="N540" i="1"/>
  <c r="N537" i="1" s="1"/>
  <c r="M540" i="1"/>
  <c r="P540" i="1" s="1"/>
  <c r="L540" i="1"/>
  <c r="O540" i="1" s="1"/>
  <c r="S539" i="1"/>
  <c r="R539" i="1"/>
  <c r="U539" i="1" s="1"/>
  <c r="Q539" i="1"/>
  <c r="T539" i="1" s="1"/>
  <c r="N539" i="1"/>
  <c r="M539" i="1"/>
  <c r="L539" i="1"/>
  <c r="K534" i="1"/>
  <c r="J534" i="1"/>
  <c r="I534" i="1"/>
  <c r="K525" i="1"/>
  <c r="K524" i="1"/>
  <c r="S522" i="1"/>
  <c r="R522" i="1"/>
  <c r="U522" i="1" s="1"/>
  <c r="Q522" i="1"/>
  <c r="T522" i="1" s="1"/>
  <c r="N522" i="1"/>
  <c r="M522" i="1"/>
  <c r="P522" i="1" s="1"/>
  <c r="L522" i="1"/>
  <c r="O522" i="1" s="1"/>
  <c r="S521" i="1"/>
  <c r="R521" i="1"/>
  <c r="Q521" i="1"/>
  <c r="T521" i="1" s="1"/>
  <c r="N521" i="1"/>
  <c r="M521" i="1"/>
  <c r="P521" i="1" s="1"/>
  <c r="L521" i="1"/>
  <c r="S519" i="1"/>
  <c r="R519" i="1"/>
  <c r="U519" i="1" s="1"/>
  <c r="Q519" i="1"/>
  <c r="T519" i="1" s="1"/>
  <c r="N519" i="1"/>
  <c r="M519" i="1"/>
  <c r="L519" i="1"/>
  <c r="O519" i="1" s="1"/>
  <c r="S518" i="1"/>
  <c r="R518" i="1"/>
  <c r="U518" i="1" s="1"/>
  <c r="Q518" i="1"/>
  <c r="N518" i="1"/>
  <c r="M518" i="1"/>
  <c r="L518" i="1"/>
  <c r="J513" i="1"/>
  <c r="I513" i="1"/>
  <c r="K513" i="1" s="1"/>
  <c r="J510" i="1"/>
  <c r="I510" i="1"/>
  <c r="K510" i="1" s="1"/>
  <c r="K509" i="1"/>
  <c r="J508" i="1"/>
  <c r="I508" i="1"/>
  <c r="K508" i="1" s="1"/>
  <c r="J507" i="1"/>
  <c r="I507" i="1"/>
  <c r="K507" i="1" s="1"/>
  <c r="J506" i="1"/>
  <c r="I506" i="1"/>
  <c r="K506" i="1" s="1"/>
  <c r="J505" i="1"/>
  <c r="I505" i="1"/>
  <c r="K505" i="1" s="1"/>
  <c r="J504" i="1"/>
  <c r="J493" i="1" s="1"/>
  <c r="I504" i="1"/>
  <c r="I493" i="1" s="1"/>
  <c r="S502" i="1"/>
  <c r="R502" i="1"/>
  <c r="U502" i="1" s="1"/>
  <c r="Q502" i="1"/>
  <c r="N502" i="1"/>
  <c r="M502" i="1"/>
  <c r="P502" i="1" s="1"/>
  <c r="L502" i="1"/>
  <c r="O502" i="1" s="1"/>
  <c r="S501" i="1"/>
  <c r="R501" i="1"/>
  <c r="Q501" i="1"/>
  <c r="T501" i="1" s="1"/>
  <c r="N501" i="1"/>
  <c r="M501" i="1"/>
  <c r="L501" i="1"/>
  <c r="S499" i="1"/>
  <c r="R499" i="1"/>
  <c r="Q499" i="1"/>
  <c r="N499" i="1"/>
  <c r="M499" i="1"/>
  <c r="P499" i="1" s="1"/>
  <c r="L499" i="1"/>
  <c r="O499" i="1" s="1"/>
  <c r="S498" i="1"/>
  <c r="R498" i="1"/>
  <c r="Q498" i="1"/>
  <c r="T498" i="1" s="1"/>
  <c r="N498" i="1"/>
  <c r="M498" i="1"/>
  <c r="L498" i="1"/>
  <c r="L495" i="1" s="1"/>
  <c r="J492" i="1"/>
  <c r="J491" i="1"/>
  <c r="J490" i="1"/>
  <c r="J489" i="1"/>
  <c r="J488" i="1"/>
  <c r="J487" i="1"/>
  <c r="J484" i="1"/>
  <c r="J483" i="1"/>
  <c r="J482" i="1"/>
  <c r="I486" i="1" s="1"/>
  <c r="K486" i="1" s="1"/>
  <c r="J481" i="1"/>
  <c r="J480" i="1"/>
  <c r="J479" i="1"/>
  <c r="K478" i="1"/>
  <c r="K477" i="1"/>
  <c r="K476" i="1"/>
  <c r="J475" i="1"/>
  <c r="J474" i="1"/>
  <c r="J473" i="1"/>
  <c r="J472" i="1"/>
  <c r="J471" i="1"/>
  <c r="J470" i="1"/>
  <c r="J467" i="1"/>
  <c r="J466" i="1"/>
  <c r="J465" i="1"/>
  <c r="J464" i="1"/>
  <c r="J463" i="1"/>
  <c r="J462" i="1"/>
  <c r="I459" i="1"/>
  <c r="K459" i="1" s="1"/>
  <c r="I458" i="1"/>
  <c r="K458" i="1" s="1"/>
  <c r="J456" i="1"/>
  <c r="J455" i="1"/>
  <c r="J454" i="1"/>
  <c r="J453" i="1"/>
  <c r="J452" i="1"/>
  <c r="J451" i="1"/>
  <c r="J450" i="1"/>
  <c r="J449" i="1"/>
  <c r="J446" i="1"/>
  <c r="J445" i="1"/>
  <c r="J444" i="1"/>
  <c r="J443" i="1"/>
  <c r="I442" i="1"/>
  <c r="K442" i="1" s="1"/>
  <c r="I441" i="1"/>
  <c r="K441" i="1" s="1"/>
  <c r="J440" i="1"/>
  <c r="J439" i="1"/>
  <c r="J438" i="1"/>
  <c r="J437" i="1"/>
  <c r="J436" i="1"/>
  <c r="J435" i="1"/>
  <c r="I434" i="1"/>
  <c r="K434" i="1" s="1"/>
  <c r="I433" i="1"/>
  <c r="K433" i="1" s="1"/>
  <c r="J432" i="1"/>
  <c r="J431" i="1"/>
  <c r="J430" i="1"/>
  <c r="J429" i="1"/>
  <c r="J428" i="1"/>
  <c r="J427" i="1"/>
  <c r="I426" i="1"/>
  <c r="K426" i="1" s="1"/>
  <c r="I425" i="1"/>
  <c r="K425" i="1" s="1"/>
  <c r="S422" i="1"/>
  <c r="R422" i="1"/>
  <c r="U422" i="1" s="1"/>
  <c r="Q422" i="1"/>
  <c r="T422" i="1" s="1"/>
  <c r="N422" i="1"/>
  <c r="M422" i="1"/>
  <c r="P422" i="1" s="1"/>
  <c r="L422" i="1"/>
  <c r="O422" i="1" s="1"/>
  <c r="S421" i="1"/>
  <c r="R421" i="1"/>
  <c r="U421" i="1" s="1"/>
  <c r="Q421" i="1"/>
  <c r="N421" i="1"/>
  <c r="M421" i="1"/>
  <c r="P421" i="1" s="1"/>
  <c r="L421" i="1"/>
  <c r="O421" i="1" s="1"/>
  <c r="S419" i="1"/>
  <c r="R419" i="1"/>
  <c r="U419" i="1" s="1"/>
  <c r="Q419" i="1"/>
  <c r="N419" i="1"/>
  <c r="M419" i="1"/>
  <c r="P419" i="1" s="1"/>
  <c r="L419" i="1"/>
  <c r="S418" i="1"/>
  <c r="R418" i="1"/>
  <c r="Q418" i="1"/>
  <c r="T418" i="1" s="1"/>
  <c r="N418" i="1"/>
  <c r="M418" i="1"/>
  <c r="P418" i="1" s="1"/>
  <c r="L418" i="1"/>
  <c r="S401" i="1"/>
  <c r="R401" i="1"/>
  <c r="U401" i="1" s="1"/>
  <c r="Q401" i="1"/>
  <c r="T401" i="1" s="1"/>
  <c r="N401" i="1"/>
  <c r="M401" i="1"/>
  <c r="P401" i="1" s="1"/>
  <c r="L401" i="1"/>
  <c r="O401" i="1" s="1"/>
  <c r="S400" i="1"/>
  <c r="R400" i="1"/>
  <c r="U400" i="1" s="1"/>
  <c r="Q400" i="1"/>
  <c r="T400" i="1" s="1"/>
  <c r="N400" i="1"/>
  <c r="M400" i="1"/>
  <c r="L400" i="1"/>
  <c r="O400" i="1" s="1"/>
  <c r="S398" i="1"/>
  <c r="R398" i="1"/>
  <c r="Q398" i="1"/>
  <c r="T398" i="1" s="1"/>
  <c r="N398" i="1"/>
  <c r="M398" i="1"/>
  <c r="P398" i="1" s="1"/>
  <c r="L398" i="1"/>
  <c r="O398" i="1" s="1"/>
  <c r="S397" i="1"/>
  <c r="R397" i="1"/>
  <c r="U397" i="1" s="1"/>
  <c r="Q397" i="1"/>
  <c r="T397" i="1" s="1"/>
  <c r="N397" i="1"/>
  <c r="M397" i="1"/>
  <c r="P397" i="1" s="1"/>
  <c r="L397" i="1"/>
  <c r="J392" i="1"/>
  <c r="I392" i="1"/>
  <c r="K392" i="1" s="1"/>
  <c r="J389" i="1"/>
  <c r="I389" i="1"/>
  <c r="J388" i="1"/>
  <c r="I388" i="1"/>
  <c r="K388" i="1" s="1"/>
  <c r="J387" i="1"/>
  <c r="I387" i="1"/>
  <c r="J386" i="1"/>
  <c r="I386" i="1"/>
  <c r="I375" i="1" s="1"/>
  <c r="K375" i="1" s="1"/>
  <c r="S384" i="1"/>
  <c r="R384" i="1"/>
  <c r="U384" i="1" s="1"/>
  <c r="Q384" i="1"/>
  <c r="T384" i="1" s="1"/>
  <c r="N384" i="1"/>
  <c r="M384" i="1"/>
  <c r="L384" i="1"/>
  <c r="O384" i="1" s="1"/>
  <c r="S383" i="1"/>
  <c r="R383" i="1"/>
  <c r="Q383" i="1"/>
  <c r="N383" i="1"/>
  <c r="M383" i="1"/>
  <c r="L383" i="1"/>
  <c r="S381" i="1"/>
  <c r="R381" i="1"/>
  <c r="U381" i="1" s="1"/>
  <c r="Q381" i="1"/>
  <c r="N381" i="1"/>
  <c r="M381" i="1"/>
  <c r="P381" i="1" s="1"/>
  <c r="L381" i="1"/>
  <c r="O381" i="1" s="1"/>
  <c r="S380" i="1"/>
  <c r="R380" i="1"/>
  <c r="Q380" i="1"/>
  <c r="N380" i="1"/>
  <c r="M380" i="1"/>
  <c r="L380" i="1"/>
  <c r="D374" i="1"/>
  <c r="K373" i="1"/>
  <c r="J373" i="1"/>
  <c r="J372" i="1"/>
  <c r="J366" i="1" s="1"/>
  <c r="I372" i="1"/>
  <c r="I366" i="1" s="1"/>
  <c r="K371" i="1"/>
  <c r="J371" i="1"/>
  <c r="J370" i="1"/>
  <c r="I370" i="1"/>
  <c r="J369" i="1"/>
  <c r="I369" i="1"/>
  <c r="K368" i="1"/>
  <c r="J368" i="1"/>
  <c r="S365" i="1"/>
  <c r="R365" i="1"/>
  <c r="U365" i="1" s="1"/>
  <c r="Q365" i="1"/>
  <c r="T365" i="1" s="1"/>
  <c r="N365" i="1"/>
  <c r="M365" i="1"/>
  <c r="L365" i="1"/>
  <c r="O365" i="1" s="1"/>
  <c r="S364" i="1"/>
  <c r="R364" i="1"/>
  <c r="Q364" i="1"/>
  <c r="T364" i="1" s="1"/>
  <c r="N364" i="1"/>
  <c r="M364" i="1"/>
  <c r="P364" i="1" s="1"/>
  <c r="L364" i="1"/>
  <c r="O364" i="1" s="1"/>
  <c r="S362" i="1"/>
  <c r="R362" i="1"/>
  <c r="U362" i="1" s="1"/>
  <c r="Q362" i="1"/>
  <c r="T362" i="1" s="1"/>
  <c r="N362" i="1"/>
  <c r="M362" i="1"/>
  <c r="L362" i="1"/>
  <c r="S361" i="1"/>
  <c r="R361" i="1"/>
  <c r="U361" i="1" s="1"/>
  <c r="Q361" i="1"/>
  <c r="T361" i="1" s="1"/>
  <c r="N361" i="1"/>
  <c r="M361" i="1"/>
  <c r="L361" i="1"/>
  <c r="O361" i="1" s="1"/>
  <c r="D355" i="1"/>
  <c r="J354" i="1"/>
  <c r="J353" i="1"/>
  <c r="D351" i="1"/>
  <c r="J350" i="1"/>
  <c r="J349" i="1"/>
  <c r="J348" i="1"/>
  <c r="J347" i="1"/>
  <c r="I347" i="1"/>
  <c r="J345" i="1"/>
  <c r="I345" i="1"/>
  <c r="S342" i="1"/>
  <c r="R342" i="1"/>
  <c r="Q342" i="1"/>
  <c r="T342" i="1" s="1"/>
  <c r="N342" i="1"/>
  <c r="M342" i="1"/>
  <c r="P342" i="1" s="1"/>
  <c r="L342" i="1"/>
  <c r="O342" i="1" s="1"/>
  <c r="S341" i="1"/>
  <c r="R341" i="1"/>
  <c r="U341" i="1" s="1"/>
  <c r="Q341" i="1"/>
  <c r="T341" i="1" s="1"/>
  <c r="N341" i="1"/>
  <c r="M341" i="1"/>
  <c r="L341" i="1"/>
  <c r="S339" i="1"/>
  <c r="R339" i="1"/>
  <c r="U339" i="1" s="1"/>
  <c r="Q339" i="1"/>
  <c r="T339" i="1" s="1"/>
  <c r="N339" i="1"/>
  <c r="M339" i="1"/>
  <c r="L339" i="1"/>
  <c r="S338" i="1"/>
  <c r="R338" i="1"/>
  <c r="Q338" i="1"/>
  <c r="T338" i="1" s="1"/>
  <c r="N338" i="1"/>
  <c r="M338" i="1"/>
  <c r="L338" i="1"/>
  <c r="J331" i="1"/>
  <c r="J320" i="1" s="1"/>
  <c r="I331" i="1"/>
  <c r="I320" i="1" s="1"/>
  <c r="S329" i="1"/>
  <c r="R329" i="1"/>
  <c r="U329" i="1" s="1"/>
  <c r="Q329" i="1"/>
  <c r="T329" i="1" s="1"/>
  <c r="N329" i="1"/>
  <c r="M329" i="1"/>
  <c r="P329" i="1" s="1"/>
  <c r="L329" i="1"/>
  <c r="O329" i="1" s="1"/>
  <c r="S328" i="1"/>
  <c r="R328" i="1"/>
  <c r="U328" i="1" s="1"/>
  <c r="Q328" i="1"/>
  <c r="T328" i="1" s="1"/>
  <c r="N328" i="1"/>
  <c r="M328" i="1"/>
  <c r="L328" i="1"/>
  <c r="S326" i="1"/>
  <c r="R326" i="1"/>
  <c r="Q326" i="1"/>
  <c r="T326" i="1" s="1"/>
  <c r="N326" i="1"/>
  <c r="M326" i="1"/>
  <c r="L326" i="1"/>
  <c r="S325" i="1"/>
  <c r="R325" i="1"/>
  <c r="U325" i="1" s="1"/>
  <c r="Q325" i="1"/>
  <c r="T325" i="1" s="1"/>
  <c r="N325" i="1"/>
  <c r="M325" i="1"/>
  <c r="L325" i="1"/>
  <c r="J318" i="1"/>
  <c r="I318" i="1"/>
  <c r="K318" i="1" s="1"/>
  <c r="J317" i="1"/>
  <c r="I317" i="1"/>
  <c r="K317" i="1" s="1"/>
  <c r="J316" i="1"/>
  <c r="I316" i="1"/>
  <c r="K316" i="1" s="1"/>
  <c r="J315" i="1"/>
  <c r="J303" i="1" s="1"/>
  <c r="I315" i="1"/>
  <c r="I303" i="1" s="1"/>
  <c r="J314" i="1"/>
  <c r="S312" i="1"/>
  <c r="R312" i="1"/>
  <c r="Q312" i="1"/>
  <c r="T312" i="1" s="1"/>
  <c r="N312" i="1"/>
  <c r="M312" i="1"/>
  <c r="P312" i="1" s="1"/>
  <c r="L312" i="1"/>
  <c r="O312" i="1" s="1"/>
  <c r="S311" i="1"/>
  <c r="R311" i="1"/>
  <c r="U311" i="1" s="1"/>
  <c r="Q311" i="1"/>
  <c r="N311" i="1"/>
  <c r="M311" i="1"/>
  <c r="P311" i="1" s="1"/>
  <c r="L311" i="1"/>
  <c r="O311" i="1" s="1"/>
  <c r="S309" i="1"/>
  <c r="R309" i="1"/>
  <c r="Q309" i="1"/>
  <c r="N309" i="1"/>
  <c r="M309" i="1"/>
  <c r="L309" i="1"/>
  <c r="S308" i="1"/>
  <c r="R308" i="1"/>
  <c r="Q308" i="1"/>
  <c r="N308" i="1"/>
  <c r="M308" i="1"/>
  <c r="L308" i="1"/>
  <c r="O308" i="1" s="1"/>
  <c r="J297" i="1"/>
  <c r="I297" i="1"/>
  <c r="J296" i="1"/>
  <c r="I296" i="1"/>
  <c r="J294" i="1"/>
  <c r="J281" i="1" s="1"/>
  <c r="I294" i="1"/>
  <c r="J293" i="1"/>
  <c r="J282" i="1" s="1"/>
  <c r="I293" i="1"/>
  <c r="S291" i="1"/>
  <c r="R291" i="1"/>
  <c r="U291" i="1" s="1"/>
  <c r="Q291" i="1"/>
  <c r="N291" i="1"/>
  <c r="M291" i="1"/>
  <c r="P291" i="1" s="1"/>
  <c r="L291" i="1"/>
  <c r="O291" i="1" s="1"/>
  <c r="S290" i="1"/>
  <c r="R290" i="1"/>
  <c r="U290" i="1" s="1"/>
  <c r="Q290" i="1"/>
  <c r="N290" i="1"/>
  <c r="M290" i="1"/>
  <c r="L290" i="1"/>
  <c r="S288" i="1"/>
  <c r="R288" i="1"/>
  <c r="Q288" i="1"/>
  <c r="T288" i="1" s="1"/>
  <c r="N288" i="1"/>
  <c r="M288" i="1"/>
  <c r="L288" i="1"/>
  <c r="S287" i="1"/>
  <c r="R287" i="1"/>
  <c r="U287" i="1" s="1"/>
  <c r="Q287" i="1"/>
  <c r="N287" i="1"/>
  <c r="M287" i="1"/>
  <c r="L287" i="1"/>
  <c r="O287" i="1" s="1"/>
  <c r="J277" i="1"/>
  <c r="I277" i="1"/>
  <c r="S275" i="1"/>
  <c r="R275" i="1"/>
  <c r="Q275" i="1"/>
  <c r="T275" i="1" s="1"/>
  <c r="N275" i="1"/>
  <c r="M275" i="1"/>
  <c r="P275" i="1" s="1"/>
  <c r="L275" i="1"/>
  <c r="S274" i="1"/>
  <c r="R274" i="1"/>
  <c r="U274" i="1" s="1"/>
  <c r="Q274" i="1"/>
  <c r="N274" i="1"/>
  <c r="M274" i="1"/>
  <c r="L274" i="1"/>
  <c r="O274" i="1" s="1"/>
  <c r="S272" i="1"/>
  <c r="R272" i="1"/>
  <c r="Q272" i="1"/>
  <c r="N272" i="1"/>
  <c r="M272" i="1"/>
  <c r="L272" i="1"/>
  <c r="S271" i="1"/>
  <c r="R271" i="1"/>
  <c r="U271" i="1" s="1"/>
  <c r="Q271" i="1"/>
  <c r="N271" i="1"/>
  <c r="M271" i="1"/>
  <c r="P271" i="1" s="1"/>
  <c r="L271" i="1"/>
  <c r="O271" i="1" s="1"/>
  <c r="J266" i="1"/>
  <c r="I266" i="1"/>
  <c r="K242" i="1"/>
  <c r="J242" i="1"/>
  <c r="K241" i="1"/>
  <c r="J241" i="1"/>
  <c r="J239" i="1"/>
  <c r="I239" i="1"/>
  <c r="S237" i="1"/>
  <c r="R237" i="1"/>
  <c r="Q237" i="1"/>
  <c r="N237" i="1"/>
  <c r="M237" i="1"/>
  <c r="L237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K232" i="1"/>
  <c r="J232" i="1"/>
  <c r="I232" i="1"/>
  <c r="J231" i="1"/>
  <c r="I231" i="1"/>
  <c r="J230" i="1"/>
  <c r="I230" i="1"/>
  <c r="I222" i="1" s="1"/>
  <c r="J229" i="1"/>
  <c r="I229" i="1"/>
  <c r="S225" i="1"/>
  <c r="R225" i="1"/>
  <c r="Q225" i="1"/>
  <c r="N225" i="1"/>
  <c r="M225" i="1"/>
  <c r="L225" i="1"/>
  <c r="S224" i="1"/>
  <c r="R224" i="1"/>
  <c r="Q224" i="1"/>
  <c r="N224" i="1"/>
  <c r="M224" i="1"/>
  <c r="L224" i="1"/>
  <c r="J221" i="1"/>
  <c r="J214" i="1" s="1"/>
  <c r="I221" i="1"/>
  <c r="I214" i="1" s="1"/>
  <c r="J220" i="1"/>
  <c r="I220" i="1"/>
  <c r="S218" i="1"/>
  <c r="R218" i="1"/>
  <c r="Q218" i="1"/>
  <c r="N218" i="1"/>
  <c r="M218" i="1"/>
  <c r="L218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K213" i="1"/>
  <c r="J213" i="1"/>
  <c r="K212" i="1"/>
  <c r="J212" i="1"/>
  <c r="J210" i="1"/>
  <c r="I210" i="1"/>
  <c r="I203" i="1" s="1"/>
  <c r="S208" i="1"/>
  <c r="R208" i="1"/>
  <c r="Q208" i="1"/>
  <c r="N208" i="1"/>
  <c r="M208" i="1"/>
  <c r="L208" i="1"/>
  <c r="S207" i="1"/>
  <c r="R207" i="1"/>
  <c r="Q207" i="1"/>
  <c r="N207" i="1"/>
  <c r="M207" i="1"/>
  <c r="L207" i="1"/>
  <c r="S205" i="1"/>
  <c r="R205" i="1"/>
  <c r="Q205" i="1"/>
  <c r="N205" i="1"/>
  <c r="M205" i="1"/>
  <c r="L205" i="1"/>
  <c r="J202" i="1"/>
  <c r="J201" i="1"/>
  <c r="J199" i="1"/>
  <c r="J196" i="1" s="1"/>
  <c r="I199" i="1"/>
  <c r="I196" i="1" s="1"/>
  <c r="S197" i="1"/>
  <c r="R197" i="1"/>
  <c r="Q197" i="1"/>
  <c r="N197" i="1"/>
  <c r="M197" i="1"/>
  <c r="L197" i="1"/>
  <c r="S195" i="1"/>
  <c r="R195" i="1"/>
  <c r="Q195" i="1"/>
  <c r="N195" i="1"/>
  <c r="M195" i="1"/>
  <c r="P195" i="1" s="1"/>
  <c r="L195" i="1"/>
  <c r="O195" i="1" s="1"/>
  <c r="S194" i="1"/>
  <c r="R194" i="1"/>
  <c r="U194" i="1" s="1"/>
  <c r="Q194" i="1"/>
  <c r="T194" i="1" s="1"/>
  <c r="N194" i="1"/>
  <c r="M194" i="1"/>
  <c r="P194" i="1" s="1"/>
  <c r="L194" i="1"/>
  <c r="O194" i="1" s="1"/>
  <c r="S192" i="1"/>
  <c r="R192" i="1"/>
  <c r="Q192" i="1"/>
  <c r="N192" i="1"/>
  <c r="M192" i="1"/>
  <c r="L192" i="1"/>
  <c r="L189" i="1" s="1"/>
  <c r="S191" i="1"/>
  <c r="R191" i="1"/>
  <c r="U191" i="1" s="1"/>
  <c r="Q191" i="1"/>
  <c r="N191" i="1"/>
  <c r="M191" i="1"/>
  <c r="P191" i="1" s="1"/>
  <c r="L191" i="1"/>
  <c r="K185" i="1"/>
  <c r="J184" i="1"/>
  <c r="J173" i="1" s="1"/>
  <c r="I184" i="1"/>
  <c r="S182" i="1"/>
  <c r="R182" i="1"/>
  <c r="U182" i="1" s="1"/>
  <c r="Q182" i="1"/>
  <c r="T182" i="1" s="1"/>
  <c r="N182" i="1"/>
  <c r="M182" i="1"/>
  <c r="P182" i="1" s="1"/>
  <c r="L182" i="1"/>
  <c r="O182" i="1" s="1"/>
  <c r="S181" i="1"/>
  <c r="R181" i="1"/>
  <c r="Q181" i="1"/>
  <c r="N181" i="1"/>
  <c r="M181" i="1"/>
  <c r="P181" i="1" s="1"/>
  <c r="L181" i="1"/>
  <c r="S179" i="1"/>
  <c r="R179" i="1"/>
  <c r="U179" i="1" s="1"/>
  <c r="Q179" i="1"/>
  <c r="T179" i="1" s="1"/>
  <c r="N179" i="1"/>
  <c r="M179" i="1"/>
  <c r="L179" i="1"/>
  <c r="S178" i="1"/>
  <c r="R178" i="1"/>
  <c r="U178" i="1" s="1"/>
  <c r="Q178" i="1"/>
  <c r="T178" i="1" s="1"/>
  <c r="N178" i="1"/>
  <c r="M178" i="1"/>
  <c r="L178" i="1"/>
  <c r="J168" i="1"/>
  <c r="I168" i="1"/>
  <c r="I169" i="1" s="1"/>
  <c r="S166" i="1"/>
  <c r="R166" i="1"/>
  <c r="Q166" i="1"/>
  <c r="T166" i="1" s="1"/>
  <c r="N166" i="1"/>
  <c r="M166" i="1"/>
  <c r="L166" i="1"/>
  <c r="O166" i="1" s="1"/>
  <c r="S165" i="1"/>
  <c r="R165" i="1"/>
  <c r="Q165" i="1"/>
  <c r="N165" i="1"/>
  <c r="M165" i="1"/>
  <c r="P165" i="1" s="1"/>
  <c r="L165" i="1"/>
  <c r="S163" i="1"/>
  <c r="R163" i="1"/>
  <c r="U163" i="1" s="1"/>
  <c r="Q163" i="1"/>
  <c r="T163" i="1" s="1"/>
  <c r="N163" i="1"/>
  <c r="M163" i="1"/>
  <c r="L163" i="1"/>
  <c r="S162" i="1"/>
  <c r="R162" i="1"/>
  <c r="Q162" i="1"/>
  <c r="T162" i="1" s="1"/>
  <c r="N162" i="1"/>
  <c r="M162" i="1"/>
  <c r="P162" i="1" s="1"/>
  <c r="L162" i="1"/>
  <c r="J157" i="1"/>
  <c r="J155" i="1"/>
  <c r="J137" i="1" s="1"/>
  <c r="I155" i="1"/>
  <c r="I137" i="1" s="1"/>
  <c r="J154" i="1"/>
  <c r="J139" i="1" s="1"/>
  <c r="I154" i="1"/>
  <c r="I139" i="1" s="1"/>
  <c r="J153" i="1"/>
  <c r="J138" i="1" s="1"/>
  <c r="I153" i="1"/>
  <c r="I138" i="1" s="1"/>
  <c r="J152" i="1"/>
  <c r="I152" i="1"/>
  <c r="J151" i="1"/>
  <c r="I151" i="1"/>
  <c r="J150" i="1"/>
  <c r="S148" i="1"/>
  <c r="R148" i="1"/>
  <c r="U148" i="1" s="1"/>
  <c r="Q148" i="1"/>
  <c r="T148" i="1" s="1"/>
  <c r="N148" i="1"/>
  <c r="M148" i="1"/>
  <c r="P148" i="1" s="1"/>
  <c r="L148" i="1"/>
  <c r="O148" i="1" s="1"/>
  <c r="S147" i="1"/>
  <c r="R147" i="1"/>
  <c r="U147" i="1" s="1"/>
  <c r="Q147" i="1"/>
  <c r="T147" i="1" s="1"/>
  <c r="N147" i="1"/>
  <c r="M147" i="1"/>
  <c r="L147" i="1"/>
  <c r="O147" i="1" s="1"/>
  <c r="S145" i="1"/>
  <c r="R145" i="1"/>
  <c r="Q145" i="1"/>
  <c r="N145" i="1"/>
  <c r="M145" i="1"/>
  <c r="L145" i="1"/>
  <c r="S144" i="1"/>
  <c r="R144" i="1"/>
  <c r="Q144" i="1"/>
  <c r="N144" i="1"/>
  <c r="M144" i="1"/>
  <c r="L144" i="1"/>
  <c r="O144" i="1" s="1"/>
  <c r="J131" i="1"/>
  <c r="I131" i="1"/>
  <c r="K131" i="1" s="1"/>
  <c r="J130" i="1"/>
  <c r="I130" i="1"/>
  <c r="J129" i="1"/>
  <c r="I129" i="1"/>
  <c r="K129" i="1" s="1"/>
  <c r="J128" i="1"/>
  <c r="J117" i="1" s="1"/>
  <c r="I128" i="1"/>
  <c r="S126" i="1"/>
  <c r="R126" i="1"/>
  <c r="U126" i="1" s="1"/>
  <c r="Q126" i="1"/>
  <c r="N126" i="1"/>
  <c r="M126" i="1"/>
  <c r="P126" i="1" s="1"/>
  <c r="L126" i="1"/>
  <c r="O126" i="1" s="1"/>
  <c r="S125" i="1"/>
  <c r="R125" i="1"/>
  <c r="Q125" i="1"/>
  <c r="N125" i="1"/>
  <c r="M125" i="1"/>
  <c r="P125" i="1" s="1"/>
  <c r="L125" i="1"/>
  <c r="S123" i="1"/>
  <c r="R123" i="1"/>
  <c r="Q123" i="1"/>
  <c r="N123" i="1"/>
  <c r="M123" i="1"/>
  <c r="P123" i="1" s="1"/>
  <c r="L123" i="1"/>
  <c r="O123" i="1" s="1"/>
  <c r="S122" i="1"/>
  <c r="R122" i="1"/>
  <c r="U122" i="1" s="1"/>
  <c r="Q122" i="1"/>
  <c r="T122" i="1" s="1"/>
  <c r="N122" i="1"/>
  <c r="M122" i="1"/>
  <c r="L122" i="1"/>
  <c r="J115" i="1"/>
  <c r="I115" i="1"/>
  <c r="J114" i="1"/>
  <c r="I114" i="1"/>
  <c r="K114" i="1" s="1"/>
  <c r="J110" i="1"/>
  <c r="J94" i="1" s="1"/>
  <c r="I110" i="1"/>
  <c r="I94" i="1" s="1"/>
  <c r="J109" i="1"/>
  <c r="J93" i="1" s="1"/>
  <c r="I109" i="1"/>
  <c r="S103" i="1"/>
  <c r="R103" i="1"/>
  <c r="U103" i="1" s="1"/>
  <c r="Q103" i="1"/>
  <c r="T103" i="1" s="1"/>
  <c r="N103" i="1"/>
  <c r="M103" i="1"/>
  <c r="P103" i="1" s="1"/>
  <c r="L103" i="1"/>
  <c r="O103" i="1" s="1"/>
  <c r="S102" i="1"/>
  <c r="R102" i="1"/>
  <c r="Q102" i="1"/>
  <c r="T102" i="1" s="1"/>
  <c r="N102" i="1"/>
  <c r="M102" i="1"/>
  <c r="L102" i="1"/>
  <c r="S100" i="1"/>
  <c r="R100" i="1"/>
  <c r="Q100" i="1"/>
  <c r="N100" i="1"/>
  <c r="M100" i="1"/>
  <c r="L100" i="1"/>
  <c r="S99" i="1"/>
  <c r="S96" i="1" s="1"/>
  <c r="R99" i="1"/>
  <c r="Q99" i="1"/>
  <c r="N99" i="1"/>
  <c r="N96" i="1" s="1"/>
  <c r="M99" i="1"/>
  <c r="L99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S81" i="1"/>
  <c r="R81" i="1"/>
  <c r="U81" i="1" s="1"/>
  <c r="Q81" i="1"/>
  <c r="T81" i="1" s="1"/>
  <c r="N81" i="1"/>
  <c r="M81" i="1"/>
  <c r="P81" i="1" s="1"/>
  <c r="L81" i="1"/>
  <c r="O81" i="1" s="1"/>
  <c r="S80" i="1"/>
  <c r="R80" i="1"/>
  <c r="U80" i="1" s="1"/>
  <c r="Q80" i="1"/>
  <c r="N80" i="1"/>
  <c r="M80" i="1"/>
  <c r="L80" i="1"/>
  <c r="S78" i="1"/>
  <c r="R78" i="1"/>
  <c r="Q78" i="1"/>
  <c r="N78" i="1"/>
  <c r="M78" i="1"/>
  <c r="M75" i="1" s="1"/>
  <c r="L78" i="1"/>
  <c r="S77" i="1"/>
  <c r="R77" i="1"/>
  <c r="Q77" i="1"/>
  <c r="T77" i="1" s="1"/>
  <c r="N77" i="1"/>
  <c r="M77" i="1"/>
  <c r="L77" i="1"/>
  <c r="S68" i="1"/>
  <c r="R68" i="1"/>
  <c r="U68" i="1" s="1"/>
  <c r="Q68" i="1"/>
  <c r="T68" i="1" s="1"/>
  <c r="N68" i="1"/>
  <c r="M68" i="1"/>
  <c r="P68" i="1" s="1"/>
  <c r="L68" i="1"/>
  <c r="O68" i="1" s="1"/>
  <c r="S67" i="1"/>
  <c r="R67" i="1"/>
  <c r="Q67" i="1"/>
  <c r="N67" i="1"/>
  <c r="M67" i="1"/>
  <c r="P67" i="1" s="1"/>
  <c r="L67" i="1"/>
  <c r="S65" i="1"/>
  <c r="R65" i="1"/>
  <c r="Q65" i="1"/>
  <c r="N65" i="1"/>
  <c r="M65" i="1"/>
  <c r="L65" i="1"/>
  <c r="S64" i="1"/>
  <c r="R64" i="1"/>
  <c r="U64" i="1" s="1"/>
  <c r="Q64" i="1"/>
  <c r="T64" i="1" s="1"/>
  <c r="N64" i="1"/>
  <c r="M64" i="1"/>
  <c r="P64" i="1" s="1"/>
  <c r="L64" i="1"/>
  <c r="O64" i="1" s="1"/>
  <c r="S53" i="1"/>
  <c r="S51" i="1" s="1"/>
  <c r="R53" i="1"/>
  <c r="R51" i="1" s="1"/>
  <c r="U51" i="1" s="1"/>
  <c r="Q53" i="1"/>
  <c r="T53" i="1" s="1"/>
  <c r="N53" i="1"/>
  <c r="N51" i="1" s="1"/>
  <c r="M53" i="1"/>
  <c r="M51" i="1" s="1"/>
  <c r="P51" i="1" s="1"/>
  <c r="L53" i="1"/>
  <c r="O53" i="1" s="1"/>
  <c r="U52" i="1"/>
  <c r="T52" i="1"/>
  <c r="P52" i="1"/>
  <c r="O52" i="1"/>
  <c r="S50" i="1"/>
  <c r="R50" i="1"/>
  <c r="Q50" i="1"/>
  <c r="Q48" i="1" s="1"/>
  <c r="T48" i="1" s="1"/>
  <c r="N50" i="1"/>
  <c r="N48" i="1" s="1"/>
  <c r="M50" i="1"/>
  <c r="M48" i="1" s="1"/>
  <c r="L50" i="1"/>
  <c r="L48" i="1" s="1"/>
  <c r="U49" i="1"/>
  <c r="T49" i="1"/>
  <c r="P49" i="1"/>
  <c r="O49" i="1"/>
  <c r="U46" i="1"/>
  <c r="T46" i="1"/>
  <c r="S46" i="1"/>
  <c r="R46" i="1"/>
  <c r="Q46" i="1"/>
  <c r="P46" i="1"/>
  <c r="O46" i="1"/>
  <c r="N46" i="1"/>
  <c r="M46" i="1"/>
  <c r="L46" i="1"/>
  <c r="A4" i="1"/>
  <c r="N20" i="18" l="1"/>
  <c r="S25" i="18"/>
  <c r="R20" i="18"/>
  <c r="Q25" i="18"/>
  <c r="T25" i="18" s="1"/>
  <c r="S20" i="18"/>
  <c r="T23" i="18"/>
  <c r="M20" i="18"/>
  <c r="P20" i="18" s="1"/>
  <c r="S73" i="18"/>
  <c r="Q20" i="17"/>
  <c r="T20" i="17" s="1"/>
  <c r="S20" i="17"/>
  <c r="U23" i="17"/>
  <c r="Q25" i="17"/>
  <c r="T25" i="17" s="1"/>
  <c r="L285" i="16"/>
  <c r="L283" i="16" s="1"/>
  <c r="S73" i="17"/>
  <c r="L20" i="17"/>
  <c r="O20" i="17" s="1"/>
  <c r="M20" i="17"/>
  <c r="P20" i="17" s="1"/>
  <c r="L20" i="16"/>
  <c r="O20" i="16" s="1"/>
  <c r="Q25" i="16"/>
  <c r="T25" i="16" s="1"/>
  <c r="S25" i="16"/>
  <c r="R20" i="16"/>
  <c r="N20" i="16"/>
  <c r="T26" i="16"/>
  <c r="R25" i="16"/>
  <c r="U25" i="16" s="1"/>
  <c r="S20" i="16"/>
  <c r="L20" i="15"/>
  <c r="O20" i="15" s="1"/>
  <c r="M20" i="15"/>
  <c r="P20" i="15" s="1"/>
  <c r="S25" i="14"/>
  <c r="N20" i="14"/>
  <c r="S158" i="14"/>
  <c r="R25" i="14"/>
  <c r="U25" i="14" s="1"/>
  <c r="S541" i="1"/>
  <c r="Q20" i="14"/>
  <c r="T20" i="14" s="1"/>
  <c r="S95" i="14"/>
  <c r="S20" i="14"/>
  <c r="M20" i="14"/>
  <c r="P20" i="14" s="1"/>
  <c r="R20" i="14"/>
  <c r="U20" i="14" s="1"/>
  <c r="L20" i="14"/>
  <c r="O20" i="14" s="1"/>
  <c r="I375" i="13"/>
  <c r="K375" i="13" s="1"/>
  <c r="L494" i="13"/>
  <c r="O494" i="13" s="1"/>
  <c r="N556" i="13"/>
  <c r="R556" i="13"/>
  <c r="U556" i="13" s="1"/>
  <c r="R535" i="13"/>
  <c r="U535" i="13" s="1"/>
  <c r="T536" i="13"/>
  <c r="L577" i="13"/>
  <c r="O577" i="13" s="1"/>
  <c r="M600" i="13"/>
  <c r="P600" i="13" s="1"/>
  <c r="L393" i="13"/>
  <c r="O393" i="13" s="1"/>
  <c r="Q393" i="13"/>
  <c r="T393" i="13" s="1"/>
  <c r="Q600" i="13"/>
  <c r="T600" i="13" s="1"/>
  <c r="R393" i="13"/>
  <c r="U393" i="13" s="1"/>
  <c r="O495" i="13"/>
  <c r="M494" i="13"/>
  <c r="P494" i="13" s="1"/>
  <c r="R514" i="13"/>
  <c r="U514" i="13" s="1"/>
  <c r="L535" i="13"/>
  <c r="O535" i="13" s="1"/>
  <c r="R600" i="13"/>
  <c r="U600" i="13" s="1"/>
  <c r="J459" i="13"/>
  <c r="S514" i="13"/>
  <c r="U537" i="13"/>
  <c r="T557" i="13"/>
  <c r="M577" i="13"/>
  <c r="P577" i="13" s="1"/>
  <c r="T578" i="13"/>
  <c r="S600" i="13"/>
  <c r="R334" i="13"/>
  <c r="U334" i="13" s="1"/>
  <c r="R283" i="13"/>
  <c r="U283" i="13" s="1"/>
  <c r="U284" i="13"/>
  <c r="N541" i="1"/>
  <c r="R25" i="13"/>
  <c r="U25" i="13" s="1"/>
  <c r="L20" i="13"/>
  <c r="O20" i="13" s="1"/>
  <c r="N644" i="1"/>
  <c r="R20" i="13"/>
  <c r="U20" i="13" s="1"/>
  <c r="Q20" i="13"/>
  <c r="T20" i="13" s="1"/>
  <c r="S25" i="13"/>
  <c r="K137" i="12"/>
  <c r="Q20" i="12"/>
  <c r="T20" i="12" s="1"/>
  <c r="R20" i="12"/>
  <c r="U20" i="12" s="1"/>
  <c r="S25" i="12"/>
  <c r="S20" i="12"/>
  <c r="Q25" i="12"/>
  <c r="T25" i="12" s="1"/>
  <c r="M20" i="12"/>
  <c r="P20" i="12" s="1"/>
  <c r="R25" i="12"/>
  <c r="U25" i="12" s="1"/>
  <c r="P23" i="12"/>
  <c r="L20" i="12"/>
  <c r="O20" i="12" s="1"/>
  <c r="J458" i="11"/>
  <c r="J457" i="11" s="1"/>
  <c r="Q577" i="11"/>
  <c r="T577" i="11" s="1"/>
  <c r="R600" i="11"/>
  <c r="U600" i="11" s="1"/>
  <c r="P602" i="11"/>
  <c r="Q20" i="11"/>
  <c r="T20" i="11" s="1"/>
  <c r="N535" i="11"/>
  <c r="R556" i="11"/>
  <c r="U556" i="11" s="1"/>
  <c r="N414" i="11"/>
  <c r="P537" i="11"/>
  <c r="N600" i="11"/>
  <c r="S75" i="1"/>
  <c r="S20" i="11"/>
  <c r="U557" i="11"/>
  <c r="M577" i="11"/>
  <c r="P577" i="11" s="1"/>
  <c r="N393" i="11"/>
  <c r="S535" i="11"/>
  <c r="L556" i="11"/>
  <c r="O556" i="11" s="1"/>
  <c r="L577" i="11"/>
  <c r="O577" i="11" s="1"/>
  <c r="S600" i="11"/>
  <c r="L414" i="11"/>
  <c r="O414" i="11" s="1"/>
  <c r="R577" i="11"/>
  <c r="U577" i="11" s="1"/>
  <c r="L494" i="11"/>
  <c r="O494" i="11" s="1"/>
  <c r="Q514" i="11"/>
  <c r="T514" i="11" s="1"/>
  <c r="L535" i="11"/>
  <c r="O535" i="11" s="1"/>
  <c r="Q535" i="11"/>
  <c r="T535" i="11" s="1"/>
  <c r="L600" i="11"/>
  <c r="O600" i="11" s="1"/>
  <c r="Q600" i="11"/>
  <c r="T600" i="11" s="1"/>
  <c r="Q334" i="11"/>
  <c r="T334" i="11" s="1"/>
  <c r="S334" i="11"/>
  <c r="R334" i="11"/>
  <c r="U334" i="11" s="1"/>
  <c r="S305" i="1"/>
  <c r="S158" i="11"/>
  <c r="L20" i="11"/>
  <c r="O20" i="11" s="1"/>
  <c r="M382" i="1"/>
  <c r="P382" i="1" s="1"/>
  <c r="M20" i="11"/>
  <c r="P20" i="11" s="1"/>
  <c r="R20" i="11"/>
  <c r="U20" i="11" s="1"/>
  <c r="T23" i="11"/>
  <c r="S538" i="1"/>
  <c r="S25" i="10"/>
  <c r="M284" i="1"/>
  <c r="P284" i="1" s="1"/>
  <c r="L20" i="10"/>
  <c r="O20" i="10" s="1"/>
  <c r="Q20" i="10"/>
  <c r="T20" i="10" s="1"/>
  <c r="P23" i="10"/>
  <c r="R20" i="10"/>
  <c r="U20" i="10" s="1"/>
  <c r="S73" i="10"/>
  <c r="N692" i="1"/>
  <c r="N359" i="11"/>
  <c r="N357" i="11" s="1"/>
  <c r="N337" i="1"/>
  <c r="R601" i="1"/>
  <c r="U601" i="1" s="1"/>
  <c r="M20" i="9"/>
  <c r="P20" i="9" s="1"/>
  <c r="R20" i="9"/>
  <c r="U20" i="9" s="1"/>
  <c r="R25" i="9"/>
  <c r="U25" i="9" s="1"/>
  <c r="L20" i="9"/>
  <c r="O20" i="9" s="1"/>
  <c r="S25" i="9"/>
  <c r="Q20" i="9"/>
  <c r="T20" i="9" s="1"/>
  <c r="Q233" i="1"/>
  <c r="U23" i="8"/>
  <c r="Q692" i="1"/>
  <c r="T692" i="1" s="1"/>
  <c r="R25" i="8"/>
  <c r="U25" i="8" s="1"/>
  <c r="L20" i="8"/>
  <c r="O20" i="8" s="1"/>
  <c r="N20" i="8"/>
  <c r="M20" i="8"/>
  <c r="P20" i="8" s="1"/>
  <c r="R20" i="7"/>
  <c r="U20" i="7" s="1"/>
  <c r="K137" i="7"/>
  <c r="L20" i="7"/>
  <c r="M20" i="7"/>
  <c r="P20" i="7" s="1"/>
  <c r="S25" i="7"/>
  <c r="S118" i="7"/>
  <c r="R25" i="7"/>
  <c r="U25" i="7" s="1"/>
  <c r="U23" i="7"/>
  <c r="S25" i="6"/>
  <c r="Q25" i="6"/>
  <c r="T25" i="6" s="1"/>
  <c r="R20" i="6"/>
  <c r="T27" i="6"/>
  <c r="S20" i="6"/>
  <c r="Q20" i="6"/>
  <c r="T20" i="6" s="1"/>
  <c r="R95" i="6"/>
  <c r="S336" i="1"/>
  <c r="Q73" i="6"/>
  <c r="N538" i="1"/>
  <c r="S382" i="1"/>
  <c r="S378" i="1"/>
  <c r="S73" i="5"/>
  <c r="R20" i="5"/>
  <c r="U20" i="5" s="1"/>
  <c r="S25" i="5"/>
  <c r="U26" i="5"/>
  <c r="Q20" i="5"/>
  <c r="T20" i="5" s="1"/>
  <c r="S20" i="5"/>
  <c r="R25" i="5"/>
  <c r="U25" i="5" s="1"/>
  <c r="R140" i="5"/>
  <c r="U140" i="5" s="1"/>
  <c r="L20" i="5"/>
  <c r="O20" i="5" s="1"/>
  <c r="S158" i="4"/>
  <c r="N20" i="4"/>
  <c r="R20" i="4"/>
  <c r="U20" i="4" s="1"/>
  <c r="L20" i="4"/>
  <c r="O20" i="4" s="1"/>
  <c r="U26" i="4"/>
  <c r="R25" i="4"/>
  <c r="U25" i="4" s="1"/>
  <c r="O26" i="4"/>
  <c r="Q537" i="1"/>
  <c r="T537" i="1" s="1"/>
  <c r="S731" i="1"/>
  <c r="T23" i="4"/>
  <c r="S20" i="3"/>
  <c r="Q20" i="3"/>
  <c r="T20" i="3" s="1"/>
  <c r="R25" i="3"/>
  <c r="U25" i="3" s="1"/>
  <c r="L269" i="1"/>
  <c r="O269" i="1" s="1"/>
  <c r="N285" i="9"/>
  <c r="N283" i="9" s="1"/>
  <c r="R20" i="3"/>
  <c r="U20" i="3" s="1"/>
  <c r="N336" i="1"/>
  <c r="N760" i="2"/>
  <c r="M729" i="2"/>
  <c r="P729" i="2" s="1"/>
  <c r="L715" i="2"/>
  <c r="O715" i="2" s="1"/>
  <c r="M96" i="1"/>
  <c r="P96" i="1" s="1"/>
  <c r="S643" i="2"/>
  <c r="N617" i="2"/>
  <c r="L600" i="2"/>
  <c r="O600" i="2" s="1"/>
  <c r="N577" i="2"/>
  <c r="S600" i="2"/>
  <c r="R514" i="2"/>
  <c r="U514" i="2" s="1"/>
  <c r="M600" i="2"/>
  <c r="P600" i="2" s="1"/>
  <c r="L393" i="2"/>
  <c r="O393" i="2" s="1"/>
  <c r="M393" i="2"/>
  <c r="P393" i="2" s="1"/>
  <c r="Q762" i="1"/>
  <c r="M376" i="2"/>
  <c r="P376" i="2" s="1"/>
  <c r="S731" i="10"/>
  <c r="S729" i="10" s="1"/>
  <c r="N62" i="13"/>
  <c r="N60" i="13" s="1"/>
  <c r="M143" i="16"/>
  <c r="P143" i="16" s="1"/>
  <c r="R321" i="2"/>
  <c r="U321" i="2" s="1"/>
  <c r="R304" i="2"/>
  <c r="Q283" i="2"/>
  <c r="T283" i="2" s="1"/>
  <c r="S20" i="2"/>
  <c r="T284" i="2"/>
  <c r="N322" i="1"/>
  <c r="S187" i="2"/>
  <c r="N20" i="2"/>
  <c r="L359" i="11"/>
  <c r="L357" i="11" s="1"/>
  <c r="R60" i="2"/>
  <c r="U60" i="2" s="1"/>
  <c r="S557" i="1"/>
  <c r="Q204" i="1"/>
  <c r="L716" i="1"/>
  <c r="O716" i="1" s="1"/>
  <c r="M536" i="1"/>
  <c r="P536" i="1" s="1"/>
  <c r="Q20" i="2"/>
  <c r="T20" i="2" s="1"/>
  <c r="S496" i="2"/>
  <c r="S494" i="2" s="1"/>
  <c r="M98" i="17"/>
  <c r="P98" i="17" s="1"/>
  <c r="M323" i="4"/>
  <c r="M321" i="4" s="1"/>
  <c r="P321" i="4" s="1"/>
  <c r="R645" i="3"/>
  <c r="R643" i="3" s="1"/>
  <c r="U643" i="3" s="1"/>
  <c r="L336" i="4"/>
  <c r="L334" i="4" s="1"/>
  <c r="R20" i="2"/>
  <c r="U20" i="2" s="1"/>
  <c r="S322" i="1"/>
  <c r="R496" i="6"/>
  <c r="R494" i="6" s="1"/>
  <c r="U494" i="6" s="1"/>
  <c r="M20" i="2"/>
  <c r="P20" i="2" s="1"/>
  <c r="Q25" i="2"/>
  <c r="T25" i="2" s="1"/>
  <c r="L20" i="2"/>
  <c r="O20" i="2" s="1"/>
  <c r="Q619" i="1"/>
  <c r="S602" i="1"/>
  <c r="N716" i="1"/>
  <c r="N188" i="1"/>
  <c r="L520" i="1"/>
  <c r="O520" i="1" s="1"/>
  <c r="N601" i="1"/>
  <c r="R378" i="16"/>
  <c r="U378" i="16" s="1"/>
  <c r="S763" i="1"/>
  <c r="R215" i="1"/>
  <c r="L359" i="12"/>
  <c r="L357" i="12" s="1"/>
  <c r="S164" i="1"/>
  <c r="U26" i="2"/>
  <c r="R45" i="2"/>
  <c r="U45" i="2" s="1"/>
  <c r="S73" i="2"/>
  <c r="S283" i="2"/>
  <c r="T323" i="2"/>
  <c r="T358" i="2"/>
  <c r="O395" i="2"/>
  <c r="Q514" i="2"/>
  <c r="T514" i="2" s="1"/>
  <c r="U516" i="2"/>
  <c r="P601" i="2"/>
  <c r="O730" i="2"/>
  <c r="N556" i="2"/>
  <c r="K759" i="2"/>
  <c r="R334" i="2"/>
  <c r="U334" i="2" s="1"/>
  <c r="M715" i="2"/>
  <c r="P715" i="2" s="1"/>
  <c r="M760" i="2"/>
  <c r="P760" i="2" s="1"/>
  <c r="S25" i="2"/>
  <c r="R393" i="2"/>
  <c r="U393" i="2" s="1"/>
  <c r="R577" i="2"/>
  <c r="U577" i="2" s="1"/>
  <c r="U61" i="2"/>
  <c r="S334" i="2"/>
  <c r="S357" i="2"/>
  <c r="M494" i="2"/>
  <c r="P494" i="2" s="1"/>
  <c r="R535" i="2"/>
  <c r="U535" i="2" s="1"/>
  <c r="S760" i="2"/>
  <c r="M47" i="7"/>
  <c r="M45" i="7" s="1"/>
  <c r="Q66" i="1"/>
  <c r="T66" i="1" s="1"/>
  <c r="M20" i="3"/>
  <c r="P20" i="3" s="1"/>
  <c r="L20" i="3"/>
  <c r="O20" i="3" s="1"/>
  <c r="Q215" i="1"/>
  <c r="M324" i="14"/>
  <c r="P324" i="14" s="1"/>
  <c r="N285" i="1"/>
  <c r="S766" i="1"/>
  <c r="Q645" i="7"/>
  <c r="T645" i="7" s="1"/>
  <c r="Q645" i="3"/>
  <c r="T645" i="3" s="1"/>
  <c r="N286" i="9"/>
  <c r="N141" i="1"/>
  <c r="S732" i="1"/>
  <c r="S496" i="7"/>
  <c r="S494" i="7" s="1"/>
  <c r="I266" i="16"/>
  <c r="K266" i="16" s="1"/>
  <c r="N578" i="1"/>
  <c r="S496" i="1"/>
  <c r="R180" i="1"/>
  <c r="U180" i="1" s="1"/>
  <c r="Q382" i="1"/>
  <c r="T382" i="1" s="1"/>
  <c r="R97" i="1"/>
  <c r="N360" i="11"/>
  <c r="S500" i="1"/>
  <c r="M359" i="11"/>
  <c r="I157" i="18"/>
  <c r="K157" i="18" s="1"/>
  <c r="L121" i="18"/>
  <c r="O121" i="18" s="1"/>
  <c r="S363" i="1"/>
  <c r="Q142" i="18"/>
  <c r="Q140" i="18" s="1"/>
  <c r="T140" i="18" s="1"/>
  <c r="N176" i="18"/>
  <c r="N174" i="18" s="1"/>
  <c r="T192" i="18"/>
  <c r="M124" i="6"/>
  <c r="P124" i="6" s="1"/>
  <c r="M79" i="14"/>
  <c r="P79" i="14" s="1"/>
  <c r="S120" i="18"/>
  <c r="S118" i="18" s="1"/>
  <c r="N62" i="17"/>
  <c r="N60" i="17" s="1"/>
  <c r="L51" i="18"/>
  <c r="O51" i="18" s="1"/>
  <c r="U694" i="18"/>
  <c r="K778" i="18"/>
  <c r="K784" i="18"/>
  <c r="M164" i="7"/>
  <c r="P164" i="7" s="1"/>
  <c r="K706" i="18"/>
  <c r="M180" i="13"/>
  <c r="P180" i="13" s="1"/>
  <c r="N336" i="17"/>
  <c r="N334" i="17" s="1"/>
  <c r="Q176" i="18"/>
  <c r="T176" i="18" s="1"/>
  <c r="K708" i="18"/>
  <c r="L164" i="18"/>
  <c r="O164" i="18" s="1"/>
  <c r="N177" i="18"/>
  <c r="P177" i="18" s="1"/>
  <c r="S189" i="18"/>
  <c r="S187" i="18" s="1"/>
  <c r="J675" i="18"/>
  <c r="K675" i="18" s="1"/>
  <c r="N602" i="1"/>
  <c r="K779" i="18"/>
  <c r="K782" i="18"/>
  <c r="K785" i="18"/>
  <c r="N63" i="17"/>
  <c r="J703" i="17"/>
  <c r="K372" i="18"/>
  <c r="I493" i="18"/>
  <c r="S583" i="1"/>
  <c r="M121" i="16"/>
  <c r="P121" i="16" s="1"/>
  <c r="Q619" i="17"/>
  <c r="Q617" i="17" s="1"/>
  <c r="M121" i="2"/>
  <c r="P121" i="2" s="1"/>
  <c r="R496" i="17"/>
  <c r="R494" i="17" s="1"/>
  <c r="U494" i="17" s="1"/>
  <c r="N120" i="18"/>
  <c r="N118" i="18" s="1"/>
  <c r="M146" i="18"/>
  <c r="P146" i="18" s="1"/>
  <c r="U306" i="18"/>
  <c r="S76" i="17"/>
  <c r="L237" i="18"/>
  <c r="U123" i="18"/>
  <c r="K184" i="18"/>
  <c r="O288" i="17"/>
  <c r="R379" i="18"/>
  <c r="U379" i="18" s="1"/>
  <c r="I413" i="18"/>
  <c r="K413" i="18" s="1"/>
  <c r="S731" i="18"/>
  <c r="S729" i="18" s="1"/>
  <c r="I139" i="18"/>
  <c r="K139" i="18" s="1"/>
  <c r="R416" i="18"/>
  <c r="U416" i="18" s="1"/>
  <c r="K441" i="18"/>
  <c r="L101" i="18"/>
  <c r="O101" i="18" s="1"/>
  <c r="R160" i="18"/>
  <c r="U419" i="18"/>
  <c r="O522" i="18"/>
  <c r="K679" i="18"/>
  <c r="K704" i="18"/>
  <c r="P326" i="16"/>
  <c r="L120" i="17"/>
  <c r="O120" i="17" s="1"/>
  <c r="I222" i="18"/>
  <c r="K222" i="18" s="1"/>
  <c r="Q306" i="18"/>
  <c r="Q304" i="18" s="1"/>
  <c r="T304" i="18" s="1"/>
  <c r="M306" i="18"/>
  <c r="M304" i="18" s="1"/>
  <c r="O326" i="18"/>
  <c r="I375" i="18"/>
  <c r="R176" i="16"/>
  <c r="U176" i="16" s="1"/>
  <c r="K315" i="18"/>
  <c r="M359" i="18"/>
  <c r="M357" i="18" s="1"/>
  <c r="K370" i="18"/>
  <c r="L335" i="1"/>
  <c r="O335" i="1" s="1"/>
  <c r="I93" i="18"/>
  <c r="K93" i="18" s="1"/>
  <c r="K677" i="18"/>
  <c r="P68" i="18"/>
  <c r="L98" i="18"/>
  <c r="O98" i="18" s="1"/>
  <c r="P326" i="18"/>
  <c r="S190" i="17"/>
  <c r="U190" i="17" s="1"/>
  <c r="I83" i="18"/>
  <c r="K83" i="18" s="1"/>
  <c r="N160" i="18"/>
  <c r="N158" i="18" s="1"/>
  <c r="R270" i="18"/>
  <c r="U270" i="18" s="1"/>
  <c r="K389" i="18"/>
  <c r="M520" i="18"/>
  <c r="P520" i="18" s="1"/>
  <c r="I424" i="17"/>
  <c r="K424" i="17" s="1"/>
  <c r="L204" i="18"/>
  <c r="O204" i="18" s="1"/>
  <c r="P272" i="18"/>
  <c r="N306" i="18"/>
  <c r="N304" i="18" s="1"/>
  <c r="J375" i="18"/>
  <c r="S417" i="18"/>
  <c r="K710" i="18"/>
  <c r="U763" i="18"/>
  <c r="I137" i="16"/>
  <c r="K137" i="16" s="1"/>
  <c r="I84" i="18"/>
  <c r="K84" i="18" s="1"/>
  <c r="L193" i="18"/>
  <c r="O193" i="18" s="1"/>
  <c r="K199" i="18"/>
  <c r="K293" i="18"/>
  <c r="S414" i="18"/>
  <c r="L234" i="17"/>
  <c r="P65" i="18"/>
  <c r="S143" i="18"/>
  <c r="P145" i="18"/>
  <c r="O360" i="18"/>
  <c r="Q693" i="17"/>
  <c r="Q691" i="17" s="1"/>
  <c r="O50" i="18"/>
  <c r="O76" i="18"/>
  <c r="L97" i="18"/>
  <c r="M160" i="18"/>
  <c r="M158" i="18" s="1"/>
  <c r="L235" i="18"/>
  <c r="I254" i="18"/>
  <c r="K254" i="18" s="1"/>
  <c r="P288" i="18"/>
  <c r="N359" i="18"/>
  <c r="K369" i="18"/>
  <c r="K627" i="18"/>
  <c r="K633" i="18"/>
  <c r="L146" i="18"/>
  <c r="O146" i="18" s="1"/>
  <c r="J375" i="15"/>
  <c r="M79" i="17"/>
  <c r="P79" i="17" s="1"/>
  <c r="M180" i="17"/>
  <c r="P180" i="17" s="1"/>
  <c r="R189" i="17"/>
  <c r="U189" i="17" s="1"/>
  <c r="O190" i="17"/>
  <c r="K294" i="17"/>
  <c r="T622" i="17"/>
  <c r="K781" i="17"/>
  <c r="L24" i="18"/>
  <c r="L22" i="18" s="1"/>
  <c r="Q97" i="18"/>
  <c r="T97" i="18" s="1"/>
  <c r="R121" i="18"/>
  <c r="U121" i="18" s="1"/>
  <c r="L142" i="18"/>
  <c r="L140" i="18" s="1"/>
  <c r="Q160" i="18"/>
  <c r="T160" i="18" s="1"/>
  <c r="L176" i="18"/>
  <c r="L174" i="18" s="1"/>
  <c r="I203" i="18"/>
  <c r="K203" i="18" s="1"/>
  <c r="I239" i="18"/>
  <c r="K239" i="18" s="1"/>
  <c r="I243" i="18"/>
  <c r="M307" i="18"/>
  <c r="P307" i="18" s="1"/>
  <c r="L327" i="18"/>
  <c r="O327" i="18" s="1"/>
  <c r="K347" i="18"/>
  <c r="J676" i="18"/>
  <c r="K676" i="18" s="1"/>
  <c r="T732" i="18"/>
  <c r="K774" i="18"/>
  <c r="T100" i="18"/>
  <c r="I366" i="18"/>
  <c r="K366" i="18" s="1"/>
  <c r="I616" i="18"/>
  <c r="K616" i="18" s="1"/>
  <c r="S620" i="18"/>
  <c r="J702" i="18"/>
  <c r="K727" i="18"/>
  <c r="N307" i="1"/>
  <c r="M124" i="17"/>
  <c r="P124" i="17" s="1"/>
  <c r="K366" i="17"/>
  <c r="S416" i="17"/>
  <c r="S414" i="17" s="1"/>
  <c r="R417" i="17"/>
  <c r="U417" i="17" s="1"/>
  <c r="M97" i="18"/>
  <c r="P97" i="18" s="1"/>
  <c r="R142" i="18"/>
  <c r="U142" i="18" s="1"/>
  <c r="R161" i="18"/>
  <c r="U161" i="18" s="1"/>
  <c r="P309" i="18"/>
  <c r="N323" i="18"/>
  <c r="N321" i="18" s="1"/>
  <c r="L324" i="18"/>
  <c r="L359" i="18"/>
  <c r="L357" i="18" s="1"/>
  <c r="K630" i="18"/>
  <c r="T646" i="18"/>
  <c r="S97" i="15"/>
  <c r="S95" i="15" s="1"/>
  <c r="T192" i="17"/>
  <c r="L237" i="17"/>
  <c r="J675" i="17"/>
  <c r="K675" i="17" s="1"/>
  <c r="Q732" i="17"/>
  <c r="N97" i="18"/>
  <c r="N95" i="18" s="1"/>
  <c r="M101" i="18"/>
  <c r="P101" i="18" s="1"/>
  <c r="Q120" i="18"/>
  <c r="P123" i="18"/>
  <c r="R143" i="18"/>
  <c r="U143" i="18" s="1"/>
  <c r="O145" i="18"/>
  <c r="P166" i="18"/>
  <c r="U192" i="18"/>
  <c r="N324" i="18"/>
  <c r="P324" i="18" s="1"/>
  <c r="U497" i="18"/>
  <c r="S617" i="18"/>
  <c r="K631" i="18"/>
  <c r="K674" i="18"/>
  <c r="T696" i="18"/>
  <c r="S762" i="18"/>
  <c r="S760" i="18" s="1"/>
  <c r="T765" i="18"/>
  <c r="K780" i="18"/>
  <c r="N416" i="1"/>
  <c r="N24" i="18"/>
  <c r="N22" i="18" s="1"/>
  <c r="M62" i="18"/>
  <c r="M60" i="18" s="1"/>
  <c r="M63" i="18"/>
  <c r="P63" i="18" s="1"/>
  <c r="K87" i="18"/>
  <c r="P100" i="18"/>
  <c r="K110" i="18"/>
  <c r="N121" i="18"/>
  <c r="K153" i="18"/>
  <c r="S177" i="18"/>
  <c r="L189" i="18"/>
  <c r="L187" i="18" s="1"/>
  <c r="O190" i="18"/>
  <c r="M193" i="18"/>
  <c r="P193" i="18" s="1"/>
  <c r="K196" i="18"/>
  <c r="I266" i="18"/>
  <c r="K266" i="18" s="1"/>
  <c r="U272" i="18"/>
  <c r="N286" i="18"/>
  <c r="P286" i="18" s="1"/>
  <c r="S307" i="18"/>
  <c r="T307" i="18" s="1"/>
  <c r="M310" i="18"/>
  <c r="P310" i="18" s="1"/>
  <c r="P339" i="18"/>
  <c r="U732" i="18"/>
  <c r="Q763" i="18"/>
  <c r="T763" i="18" s="1"/>
  <c r="O148" i="17"/>
  <c r="K458" i="17"/>
  <c r="L27" i="18"/>
  <c r="L48" i="18"/>
  <c r="O48" i="18" s="1"/>
  <c r="M24" i="18"/>
  <c r="M22" i="18" s="1"/>
  <c r="Q76" i="18"/>
  <c r="M75" i="18"/>
  <c r="M73" i="18" s="1"/>
  <c r="L79" i="18"/>
  <c r="O79" i="18" s="1"/>
  <c r="M98" i="18"/>
  <c r="P98" i="18" s="1"/>
  <c r="T121" i="18"/>
  <c r="M142" i="18"/>
  <c r="M140" i="18" s="1"/>
  <c r="L143" i="18"/>
  <c r="O143" i="18" s="1"/>
  <c r="P182" i="18"/>
  <c r="M189" i="18"/>
  <c r="M187" i="18" s="1"/>
  <c r="L269" i="18"/>
  <c r="O269" i="18" s="1"/>
  <c r="S269" i="18"/>
  <c r="L273" i="18"/>
  <c r="O273" i="18" s="1"/>
  <c r="R496" i="18"/>
  <c r="U499" i="18"/>
  <c r="L75" i="17"/>
  <c r="O75" i="17" s="1"/>
  <c r="P360" i="18"/>
  <c r="R269" i="17"/>
  <c r="U269" i="17" s="1"/>
  <c r="U419" i="17"/>
  <c r="Q24" i="18"/>
  <c r="N62" i="18"/>
  <c r="N60" i="18" s="1"/>
  <c r="N75" i="18"/>
  <c r="N73" i="18" s="1"/>
  <c r="M79" i="18"/>
  <c r="P79" i="18" s="1"/>
  <c r="N98" i="18"/>
  <c r="N142" i="18"/>
  <c r="M143" i="18"/>
  <c r="P143" i="18" s="1"/>
  <c r="L177" i="18"/>
  <c r="P179" i="18"/>
  <c r="Q189" i="18"/>
  <c r="Q190" i="18"/>
  <c r="T190" i="18" s="1"/>
  <c r="M269" i="18"/>
  <c r="L270" i="18"/>
  <c r="O270" i="18" s="1"/>
  <c r="M273" i="18"/>
  <c r="P273" i="18" s="1"/>
  <c r="M289" i="18"/>
  <c r="P289" i="18" s="1"/>
  <c r="M336" i="18"/>
  <c r="M334" i="18" s="1"/>
  <c r="L363" i="18"/>
  <c r="O363" i="18" s="1"/>
  <c r="O365" i="18"/>
  <c r="S496" i="18"/>
  <c r="S494" i="18" s="1"/>
  <c r="T622" i="18"/>
  <c r="U734" i="18"/>
  <c r="P190" i="18"/>
  <c r="N97" i="11"/>
  <c r="N95" i="11" s="1"/>
  <c r="I214" i="17"/>
  <c r="K214" i="17" s="1"/>
  <c r="K372" i="17"/>
  <c r="R24" i="18"/>
  <c r="R21" i="18" s="1"/>
  <c r="R19" i="18" s="1"/>
  <c r="N47" i="18"/>
  <c r="N45" i="18" s="1"/>
  <c r="O68" i="18"/>
  <c r="O78" i="18"/>
  <c r="S140" i="18"/>
  <c r="N161" i="18"/>
  <c r="P161" i="18" s="1"/>
  <c r="R189" i="18"/>
  <c r="N269" i="18"/>
  <c r="N267" i="18" s="1"/>
  <c r="M270" i="18"/>
  <c r="P270" i="18" s="1"/>
  <c r="O291" i="18"/>
  <c r="L340" i="18"/>
  <c r="O340" i="18" s="1"/>
  <c r="O362" i="18"/>
  <c r="M363" i="18"/>
  <c r="P363" i="18" s="1"/>
  <c r="Q416" i="18"/>
  <c r="Q417" i="18"/>
  <c r="T417" i="18" s="1"/>
  <c r="L516" i="18"/>
  <c r="O516" i="18" s="1"/>
  <c r="Q620" i="18"/>
  <c r="S645" i="18"/>
  <c r="S643" i="18" s="1"/>
  <c r="K662" i="18"/>
  <c r="J690" i="18"/>
  <c r="K690" i="18" s="1"/>
  <c r="R731" i="18"/>
  <c r="K783" i="18"/>
  <c r="K785" i="15"/>
  <c r="Q416" i="16"/>
  <c r="T416" i="16" s="1"/>
  <c r="U192" i="17"/>
  <c r="O65" i="18"/>
  <c r="P76" i="18"/>
  <c r="M120" i="18"/>
  <c r="P120" i="18" s="1"/>
  <c r="M176" i="18"/>
  <c r="M174" i="18" s="1"/>
  <c r="U190" i="18"/>
  <c r="L223" i="18"/>
  <c r="O223" i="18" s="1"/>
  <c r="L255" i="18"/>
  <c r="O255" i="18" s="1"/>
  <c r="M340" i="18"/>
  <c r="P340" i="18" s="1"/>
  <c r="K387" i="18"/>
  <c r="K781" i="18"/>
  <c r="N62" i="16"/>
  <c r="N60" i="16" s="1"/>
  <c r="L235" i="16"/>
  <c r="J375" i="16"/>
  <c r="K783" i="16"/>
  <c r="L79" i="17"/>
  <c r="O79" i="17" s="1"/>
  <c r="M101" i="17"/>
  <c r="P101" i="17" s="1"/>
  <c r="I117" i="17"/>
  <c r="K117" i="17" s="1"/>
  <c r="I137" i="17"/>
  <c r="K137" i="17" s="1"/>
  <c r="Q143" i="17"/>
  <c r="T143" i="17" s="1"/>
  <c r="Q176" i="17"/>
  <c r="T176" i="17" s="1"/>
  <c r="K370" i="17"/>
  <c r="O519" i="17"/>
  <c r="R619" i="17"/>
  <c r="R617" i="17" s="1"/>
  <c r="R177" i="16"/>
  <c r="U177" i="16" s="1"/>
  <c r="U123" i="17"/>
  <c r="P148" i="17"/>
  <c r="I303" i="17"/>
  <c r="K303" i="17" s="1"/>
  <c r="T499" i="17"/>
  <c r="U620" i="17"/>
  <c r="K706" i="17"/>
  <c r="Q762" i="17"/>
  <c r="Q760" i="17" s="1"/>
  <c r="L160" i="15"/>
  <c r="L158" i="15" s="1"/>
  <c r="O103" i="16"/>
  <c r="S307" i="16"/>
  <c r="K655" i="16"/>
  <c r="S121" i="17"/>
  <c r="T121" i="17" s="1"/>
  <c r="U163" i="17"/>
  <c r="Q177" i="17"/>
  <c r="T177" i="17" s="1"/>
  <c r="P179" i="17"/>
  <c r="L285" i="17"/>
  <c r="L283" i="17" s="1"/>
  <c r="K345" i="17"/>
  <c r="M520" i="17"/>
  <c r="P520" i="17" s="1"/>
  <c r="U20" i="18"/>
  <c r="K369" i="17"/>
  <c r="U622" i="17"/>
  <c r="M160" i="16"/>
  <c r="N306" i="17"/>
  <c r="N304" i="17" s="1"/>
  <c r="M48" i="18"/>
  <c r="P48" i="18" s="1"/>
  <c r="L63" i="18"/>
  <c r="O63" i="18" s="1"/>
  <c r="U78" i="18"/>
  <c r="R120" i="18"/>
  <c r="K128" i="18"/>
  <c r="U179" i="18"/>
  <c r="R176" i="18"/>
  <c r="U176" i="18" s="1"/>
  <c r="N189" i="18"/>
  <c r="N187" i="18" s="1"/>
  <c r="S378" i="18"/>
  <c r="S376" i="18" s="1"/>
  <c r="S379" i="18"/>
  <c r="T379" i="18" s="1"/>
  <c r="T75" i="18"/>
  <c r="S161" i="18"/>
  <c r="S160" i="18"/>
  <c r="S158" i="18" s="1"/>
  <c r="O175" i="18"/>
  <c r="L234" i="18"/>
  <c r="L244" i="18"/>
  <c r="P618" i="18"/>
  <c r="M617" i="18"/>
  <c r="P617" i="18" s="1"/>
  <c r="U622" i="18"/>
  <c r="R619" i="18"/>
  <c r="R620" i="18"/>
  <c r="N27" i="18"/>
  <c r="N51" i="18"/>
  <c r="R75" i="18"/>
  <c r="P78" i="18"/>
  <c r="L120" i="18"/>
  <c r="O120" i="18" s="1"/>
  <c r="P126" i="18"/>
  <c r="P141" i="18"/>
  <c r="O163" i="18"/>
  <c r="L161" i="18"/>
  <c r="L160" i="18"/>
  <c r="T163" i="18"/>
  <c r="I169" i="18"/>
  <c r="K169" i="18" s="1"/>
  <c r="K168" i="18"/>
  <c r="T175" i="18"/>
  <c r="T179" i="18"/>
  <c r="O192" i="18"/>
  <c r="L307" i="18"/>
  <c r="O307" i="18" s="1"/>
  <c r="O309" i="18"/>
  <c r="L306" i="18"/>
  <c r="L47" i="18"/>
  <c r="M51" i="18"/>
  <c r="P51" i="18" s="1"/>
  <c r="M27" i="18"/>
  <c r="P27" i="18" s="1"/>
  <c r="N66" i="18"/>
  <c r="L75" i="18"/>
  <c r="R95" i="18"/>
  <c r="U95" i="18" s="1"/>
  <c r="S97" i="18"/>
  <c r="S95" i="18" s="1"/>
  <c r="U100" i="18"/>
  <c r="R98" i="18"/>
  <c r="U98" i="18" s="1"/>
  <c r="T123" i="18"/>
  <c r="Q143" i="18"/>
  <c r="T143" i="18" s="1"/>
  <c r="T159" i="18"/>
  <c r="P163" i="18"/>
  <c r="O182" i="18"/>
  <c r="L180" i="18"/>
  <c r="O180" i="18" s="1"/>
  <c r="K173" i="18"/>
  <c r="T188" i="18"/>
  <c r="P192" i="18"/>
  <c r="R304" i="18"/>
  <c r="U304" i="18" s="1"/>
  <c r="J352" i="18"/>
  <c r="O23" i="18"/>
  <c r="U23" i="18"/>
  <c r="M47" i="18"/>
  <c r="P50" i="18"/>
  <c r="L62" i="18"/>
  <c r="Q73" i="18"/>
  <c r="L124" i="18"/>
  <c r="O124" i="18" s="1"/>
  <c r="I137" i="18"/>
  <c r="K137" i="18" s="1"/>
  <c r="K155" i="18"/>
  <c r="K221" i="18"/>
  <c r="I214" i="18"/>
  <c r="K214" i="18" s="1"/>
  <c r="Q270" i="18"/>
  <c r="T270" i="18" s="1"/>
  <c r="T272" i="18"/>
  <c r="I281" i="18"/>
  <c r="K281" i="18" s="1"/>
  <c r="K294" i="18"/>
  <c r="N340" i="18"/>
  <c r="N336" i="18"/>
  <c r="N334" i="18" s="1"/>
  <c r="R535" i="18"/>
  <c r="U535" i="18" s="1"/>
  <c r="U536" i="18"/>
  <c r="L20" i="18"/>
  <c r="S76" i="18"/>
  <c r="S24" i="18"/>
  <c r="K117" i="18"/>
  <c r="Q269" i="18"/>
  <c r="L286" i="18"/>
  <c r="O288" i="18"/>
  <c r="L285" i="18"/>
  <c r="L283" i="18" s="1"/>
  <c r="K504" i="18"/>
  <c r="J493" i="18"/>
  <c r="T619" i="18"/>
  <c r="Q617" i="18"/>
  <c r="U648" i="18"/>
  <c r="R645" i="18"/>
  <c r="R646" i="18"/>
  <c r="U646" i="18" s="1"/>
  <c r="L535" i="18"/>
  <c r="O535" i="18" s="1"/>
  <c r="O536" i="18"/>
  <c r="T78" i="18"/>
  <c r="O179" i="18"/>
  <c r="L215" i="18"/>
  <c r="O215" i="18" s="1"/>
  <c r="L236" i="18"/>
  <c r="I320" i="18"/>
  <c r="K320" i="18" s="1"/>
  <c r="K331" i="18"/>
  <c r="J344" i="18"/>
  <c r="J333" i="18"/>
  <c r="I457" i="18"/>
  <c r="K457" i="18" s="1"/>
  <c r="K458" i="18"/>
  <c r="N517" i="18"/>
  <c r="N516" i="18"/>
  <c r="N514" i="18" s="1"/>
  <c r="R307" i="18"/>
  <c r="U309" i="18"/>
  <c r="L310" i="18"/>
  <c r="O310" i="18" s="1"/>
  <c r="O312" i="18"/>
  <c r="U358" i="18"/>
  <c r="R357" i="18"/>
  <c r="U357" i="18" s="1"/>
  <c r="T381" i="18"/>
  <c r="T499" i="18"/>
  <c r="Q496" i="18"/>
  <c r="Q497" i="18"/>
  <c r="T497" i="18" s="1"/>
  <c r="T692" i="18"/>
  <c r="M327" i="18"/>
  <c r="P327" i="18" s="1"/>
  <c r="P329" i="18"/>
  <c r="M323" i="18"/>
  <c r="K345" i="18"/>
  <c r="I333" i="18"/>
  <c r="O358" i="18"/>
  <c r="R393" i="18"/>
  <c r="U393" i="18" s="1"/>
  <c r="M556" i="18"/>
  <c r="P556" i="18" s="1"/>
  <c r="P557" i="18"/>
  <c r="M577" i="18"/>
  <c r="P577" i="18" s="1"/>
  <c r="M285" i="18"/>
  <c r="L336" i="18"/>
  <c r="N337" i="18"/>
  <c r="P337" i="18" s="1"/>
  <c r="Q357" i="18"/>
  <c r="T357" i="18" s="1"/>
  <c r="M376" i="18"/>
  <c r="P376" i="18" s="1"/>
  <c r="Q378" i="18"/>
  <c r="L414" i="18"/>
  <c r="O414" i="18" s="1"/>
  <c r="P495" i="18"/>
  <c r="Q514" i="18"/>
  <c r="T514" i="18" s="1"/>
  <c r="M516" i="18"/>
  <c r="P519" i="18"/>
  <c r="O601" i="18"/>
  <c r="N617" i="18"/>
  <c r="M643" i="18"/>
  <c r="P643" i="18" s="1"/>
  <c r="P644" i="18"/>
  <c r="K680" i="18"/>
  <c r="U696" i="18"/>
  <c r="N285" i="18"/>
  <c r="N283" i="18" s="1"/>
  <c r="T285" i="18"/>
  <c r="T309" i="18"/>
  <c r="L323" i="18"/>
  <c r="P362" i="18"/>
  <c r="R378" i="18"/>
  <c r="M414" i="18"/>
  <c r="P414" i="18" s="1"/>
  <c r="L494" i="18"/>
  <c r="O494" i="18" s="1"/>
  <c r="L517" i="18"/>
  <c r="O517" i="18" s="1"/>
  <c r="Q535" i="18"/>
  <c r="T535" i="18" s="1"/>
  <c r="R556" i="18"/>
  <c r="U556" i="18" s="1"/>
  <c r="L577" i="18"/>
  <c r="O577" i="18" s="1"/>
  <c r="R577" i="18"/>
  <c r="U577" i="18" s="1"/>
  <c r="J703" i="18"/>
  <c r="S693" i="18"/>
  <c r="S691" i="18" s="1"/>
  <c r="U716" i="18"/>
  <c r="R715" i="18"/>
  <c r="U715" i="18" s="1"/>
  <c r="O339" i="18"/>
  <c r="R514" i="18"/>
  <c r="U514" i="18" s="1"/>
  <c r="K682" i="18"/>
  <c r="O716" i="18"/>
  <c r="L715" i="18"/>
  <c r="O715" i="18" s="1"/>
  <c r="T648" i="18"/>
  <c r="Q645" i="18"/>
  <c r="N691" i="18"/>
  <c r="I702" i="18"/>
  <c r="P692" i="18"/>
  <c r="R693" i="18"/>
  <c r="T716" i="18"/>
  <c r="L729" i="18"/>
  <c r="O729" i="18" s="1"/>
  <c r="T730" i="18"/>
  <c r="M760" i="18"/>
  <c r="P760" i="18" s="1"/>
  <c r="O761" i="18"/>
  <c r="U761" i="18"/>
  <c r="Q762" i="18"/>
  <c r="Q731" i="18"/>
  <c r="T734" i="18"/>
  <c r="R762" i="18"/>
  <c r="U765" i="18"/>
  <c r="Q694" i="18"/>
  <c r="T694" i="18" s="1"/>
  <c r="Q693" i="18"/>
  <c r="I758" i="18"/>
  <c r="K758" i="18" s="1"/>
  <c r="Q158" i="17"/>
  <c r="T158" i="17" s="1"/>
  <c r="T160" i="17"/>
  <c r="L161" i="15"/>
  <c r="R496" i="16"/>
  <c r="R494" i="16" s="1"/>
  <c r="U494" i="16" s="1"/>
  <c r="Q161" i="17"/>
  <c r="T161" i="17" s="1"/>
  <c r="M164" i="17"/>
  <c r="P164" i="17" s="1"/>
  <c r="R176" i="17"/>
  <c r="U176" i="17" s="1"/>
  <c r="R177" i="17"/>
  <c r="U177" i="17" s="1"/>
  <c r="L323" i="17"/>
  <c r="O323" i="17" s="1"/>
  <c r="Q497" i="17"/>
  <c r="T497" i="17" s="1"/>
  <c r="L223" i="16"/>
  <c r="O223" i="16" s="1"/>
  <c r="K370" i="16"/>
  <c r="U419" i="16"/>
  <c r="L76" i="17"/>
  <c r="O76" i="17" s="1"/>
  <c r="Q142" i="17"/>
  <c r="T142" i="17" s="1"/>
  <c r="S176" i="17"/>
  <c r="S174" i="17" s="1"/>
  <c r="S497" i="17"/>
  <c r="M516" i="17"/>
  <c r="P516" i="17" s="1"/>
  <c r="S619" i="17"/>
  <c r="S617" i="17" s="1"/>
  <c r="U648" i="17"/>
  <c r="J702" i="17"/>
  <c r="T765" i="17"/>
  <c r="K779" i="17"/>
  <c r="K782" i="17"/>
  <c r="K785" i="17"/>
  <c r="M305" i="1"/>
  <c r="P305" i="1" s="1"/>
  <c r="I173" i="17"/>
  <c r="K173" i="17" s="1"/>
  <c r="P286" i="17"/>
  <c r="N516" i="17"/>
  <c r="N514" i="17" s="1"/>
  <c r="L176" i="16"/>
  <c r="L174" i="16" s="1"/>
  <c r="L180" i="16"/>
  <c r="O180" i="16" s="1"/>
  <c r="L324" i="16"/>
  <c r="O324" i="16" s="1"/>
  <c r="R417" i="16"/>
  <c r="U417" i="16" s="1"/>
  <c r="L27" i="17"/>
  <c r="O27" i="17" s="1"/>
  <c r="L66" i="17"/>
  <c r="O66" i="17" s="1"/>
  <c r="I139" i="17"/>
  <c r="K139" i="17" s="1"/>
  <c r="M177" i="17"/>
  <c r="P177" i="17" s="1"/>
  <c r="N285" i="17"/>
  <c r="N283" i="17" s="1"/>
  <c r="O312" i="17"/>
  <c r="J352" i="17"/>
  <c r="K679" i="17"/>
  <c r="R732" i="17"/>
  <c r="K783" i="17"/>
  <c r="N159" i="1"/>
  <c r="N47" i="17"/>
  <c r="N45" i="17" s="1"/>
  <c r="M97" i="17"/>
  <c r="P97" i="17" s="1"/>
  <c r="M176" i="17"/>
  <c r="M174" i="17" s="1"/>
  <c r="L204" i="17"/>
  <c r="O204" i="17" s="1"/>
  <c r="L235" i="17"/>
  <c r="N269" i="17"/>
  <c r="N267" i="17" s="1"/>
  <c r="L286" i="17"/>
  <c r="O286" i="17" s="1"/>
  <c r="S306" i="17"/>
  <c r="U306" i="17" s="1"/>
  <c r="L359" i="17"/>
  <c r="L357" i="17" s="1"/>
  <c r="I702" i="17"/>
  <c r="I93" i="17"/>
  <c r="K93" i="17" s="1"/>
  <c r="K109" i="17"/>
  <c r="P275" i="17"/>
  <c r="M273" i="17"/>
  <c r="P273" i="17" s="1"/>
  <c r="S176" i="16"/>
  <c r="S174" i="16" s="1"/>
  <c r="S97" i="17"/>
  <c r="S95" i="17" s="1"/>
  <c r="M120" i="17"/>
  <c r="I138" i="17"/>
  <c r="K138" i="17" s="1"/>
  <c r="M142" i="17"/>
  <c r="M140" i="17" s="1"/>
  <c r="S158" i="17"/>
  <c r="L161" i="17"/>
  <c r="O161" i="17" s="1"/>
  <c r="O163" i="17"/>
  <c r="L160" i="17"/>
  <c r="O160" i="17" s="1"/>
  <c r="T163" i="17"/>
  <c r="I196" i="17"/>
  <c r="K196" i="17" s="1"/>
  <c r="L215" i="17"/>
  <c r="O215" i="17" s="1"/>
  <c r="K250" i="17"/>
  <c r="O342" i="17"/>
  <c r="L340" i="17"/>
  <c r="O340" i="17" s="1"/>
  <c r="P362" i="17"/>
  <c r="N360" i="17"/>
  <c r="O360" i="17" s="1"/>
  <c r="T648" i="17"/>
  <c r="Q646" i="17"/>
  <c r="T646" i="17" s="1"/>
  <c r="Q645" i="17"/>
  <c r="Q643" i="17" s="1"/>
  <c r="J676" i="17"/>
  <c r="K676" i="17" s="1"/>
  <c r="L101" i="17"/>
  <c r="O101" i="17" s="1"/>
  <c r="L97" i="17"/>
  <c r="O97" i="17" s="1"/>
  <c r="S177" i="15"/>
  <c r="L62" i="16"/>
  <c r="L60" i="16" s="1"/>
  <c r="S75" i="16"/>
  <c r="S73" i="16" s="1"/>
  <c r="K221" i="16"/>
  <c r="S269" i="16"/>
  <c r="S267" i="16" s="1"/>
  <c r="K293" i="16"/>
  <c r="I493" i="16"/>
  <c r="K493" i="16" s="1"/>
  <c r="J676" i="16"/>
  <c r="K676" i="16" s="1"/>
  <c r="M66" i="17"/>
  <c r="P66" i="17" s="1"/>
  <c r="M76" i="17"/>
  <c r="P76" i="17" s="1"/>
  <c r="N120" i="17"/>
  <c r="N118" i="17" s="1"/>
  <c r="N142" i="17"/>
  <c r="N140" i="17" s="1"/>
  <c r="S161" i="17"/>
  <c r="P163" i="17"/>
  <c r="M160" i="17"/>
  <c r="M161" i="17"/>
  <c r="P161" i="17" s="1"/>
  <c r="L189" i="17"/>
  <c r="L187" i="17" s="1"/>
  <c r="S270" i="17"/>
  <c r="U270" i="17" s="1"/>
  <c r="L270" i="17"/>
  <c r="O270" i="17" s="1"/>
  <c r="O272" i="17"/>
  <c r="T272" i="17"/>
  <c r="U309" i="17"/>
  <c r="M310" i="17"/>
  <c r="P310" i="17" s="1"/>
  <c r="M306" i="17"/>
  <c r="M304" i="17" s="1"/>
  <c r="P342" i="17"/>
  <c r="M340" i="17"/>
  <c r="P340" i="17" s="1"/>
  <c r="N359" i="17"/>
  <c r="N357" i="17" s="1"/>
  <c r="R694" i="17"/>
  <c r="U696" i="17"/>
  <c r="R693" i="17"/>
  <c r="R691" i="17" s="1"/>
  <c r="K772" i="17"/>
  <c r="S160" i="15"/>
  <c r="S158" i="15" s="1"/>
  <c r="Q269" i="15"/>
  <c r="Q267" i="15" s="1"/>
  <c r="K710" i="15"/>
  <c r="L98" i="16"/>
  <c r="O98" i="16" s="1"/>
  <c r="R142" i="16"/>
  <c r="U142" i="16" s="1"/>
  <c r="L142" i="16"/>
  <c r="O142" i="16" s="1"/>
  <c r="L146" i="16"/>
  <c r="O146" i="16" s="1"/>
  <c r="L340" i="16"/>
  <c r="O340" i="16" s="1"/>
  <c r="R414" i="16"/>
  <c r="U414" i="16" s="1"/>
  <c r="Q731" i="16"/>
  <c r="Q729" i="16" s="1"/>
  <c r="L51" i="17"/>
  <c r="O51" i="17" s="1"/>
  <c r="O53" i="17"/>
  <c r="O103" i="17"/>
  <c r="R121" i="17"/>
  <c r="R120" i="17"/>
  <c r="U120" i="17" s="1"/>
  <c r="N160" i="17"/>
  <c r="N158" i="17" s="1"/>
  <c r="N161" i="17"/>
  <c r="N176" i="17"/>
  <c r="L180" i="17"/>
  <c r="O180" i="17" s="1"/>
  <c r="N189" i="17"/>
  <c r="N187" i="17" s="1"/>
  <c r="O192" i="17"/>
  <c r="M193" i="17"/>
  <c r="P193" i="17" s="1"/>
  <c r="I320" i="17"/>
  <c r="K320" i="17" s="1"/>
  <c r="M336" i="17"/>
  <c r="M334" i="17" s="1"/>
  <c r="S379" i="17"/>
  <c r="S378" i="17"/>
  <c r="S376" i="17" s="1"/>
  <c r="K387" i="17"/>
  <c r="T620" i="17"/>
  <c r="S694" i="17"/>
  <c r="T694" i="17" s="1"/>
  <c r="S693" i="17"/>
  <c r="N717" i="1"/>
  <c r="K331" i="15"/>
  <c r="L120" i="16"/>
  <c r="L118" i="16" s="1"/>
  <c r="O118" i="16" s="1"/>
  <c r="M146" i="16"/>
  <c r="P146" i="16" s="1"/>
  <c r="Q160" i="16"/>
  <c r="T160" i="16" s="1"/>
  <c r="L193" i="16"/>
  <c r="O193" i="16" s="1"/>
  <c r="Q497" i="16"/>
  <c r="T497" i="16" s="1"/>
  <c r="S620" i="16"/>
  <c r="S143" i="17"/>
  <c r="S142" i="17"/>
  <c r="S140" i="17" s="1"/>
  <c r="O166" i="17"/>
  <c r="O195" i="17"/>
  <c r="L236" i="17"/>
  <c r="P309" i="17"/>
  <c r="O309" i="17"/>
  <c r="N307" i="17"/>
  <c r="P307" i="17" s="1"/>
  <c r="R760" i="17"/>
  <c r="R763" i="17"/>
  <c r="U763" i="17" s="1"/>
  <c r="P329" i="17"/>
  <c r="M327" i="17"/>
  <c r="P327" i="17" s="1"/>
  <c r="T78" i="16"/>
  <c r="I157" i="16"/>
  <c r="K157" i="16" s="1"/>
  <c r="N160" i="16"/>
  <c r="N158" i="16" s="1"/>
  <c r="K345" i="16"/>
  <c r="R497" i="16"/>
  <c r="U497" i="16" s="1"/>
  <c r="R75" i="17"/>
  <c r="U75" i="17" s="1"/>
  <c r="S24" i="17"/>
  <c r="S21" i="17" s="1"/>
  <c r="S19" i="17" s="1"/>
  <c r="M121" i="17"/>
  <c r="P121" i="17" s="1"/>
  <c r="L121" i="17"/>
  <c r="O121" i="17" s="1"/>
  <c r="O123" i="17"/>
  <c r="T123" i="17"/>
  <c r="L255" i="17"/>
  <c r="O255" i="17" s="1"/>
  <c r="L269" i="17"/>
  <c r="O269" i="17" s="1"/>
  <c r="L273" i="17"/>
  <c r="O273" i="17" s="1"/>
  <c r="O275" i="17"/>
  <c r="K277" i="17"/>
  <c r="P288" i="17"/>
  <c r="Q306" i="17"/>
  <c r="T309" i="17"/>
  <c r="Q307" i="17"/>
  <c r="T307" i="17" s="1"/>
  <c r="P312" i="17"/>
  <c r="I333" i="17"/>
  <c r="R497" i="17"/>
  <c r="U497" i="17" s="1"/>
  <c r="I493" i="17"/>
  <c r="K493" i="17" s="1"/>
  <c r="K504" i="17"/>
  <c r="I83" i="17"/>
  <c r="K83" i="17" s="1"/>
  <c r="L223" i="17"/>
  <c r="O223" i="17" s="1"/>
  <c r="L244" i="17"/>
  <c r="O244" i="17" s="1"/>
  <c r="L327" i="17"/>
  <c r="O327" i="17" s="1"/>
  <c r="O362" i="17"/>
  <c r="L363" i="17"/>
  <c r="O363" i="17" s="1"/>
  <c r="O365" i="17"/>
  <c r="T734" i="17"/>
  <c r="S762" i="17"/>
  <c r="S760" i="17" s="1"/>
  <c r="N97" i="17"/>
  <c r="N95" i="17" s="1"/>
  <c r="S118" i="17"/>
  <c r="O177" i="17"/>
  <c r="K347" i="17"/>
  <c r="J504" i="17"/>
  <c r="J493" i="17" s="1"/>
  <c r="R645" i="17"/>
  <c r="R643" i="17" s="1"/>
  <c r="K674" i="17"/>
  <c r="K677" i="17"/>
  <c r="N323" i="17"/>
  <c r="N321" i="17" s="1"/>
  <c r="J333" i="17"/>
  <c r="J375" i="17"/>
  <c r="T696" i="17"/>
  <c r="K710" i="17"/>
  <c r="Q729" i="17"/>
  <c r="U765" i="17"/>
  <c r="O65" i="17"/>
  <c r="L63" i="17"/>
  <c r="L62" i="17"/>
  <c r="M66" i="15"/>
  <c r="P66" i="15" s="1"/>
  <c r="Q75" i="16"/>
  <c r="S189" i="16"/>
  <c r="S187" i="16" s="1"/>
  <c r="S190" i="16"/>
  <c r="U190" i="16" s="1"/>
  <c r="M63" i="17"/>
  <c r="P65" i="17"/>
  <c r="M62" i="17"/>
  <c r="Q97" i="17"/>
  <c r="T100" i="17"/>
  <c r="O119" i="17"/>
  <c r="T141" i="17"/>
  <c r="P192" i="17"/>
  <c r="M189" i="17"/>
  <c r="M187" i="17" s="1"/>
  <c r="M190" i="17"/>
  <c r="P190" i="17" s="1"/>
  <c r="Q494" i="17"/>
  <c r="T494" i="17" s="1"/>
  <c r="T496" i="17"/>
  <c r="M193" i="16"/>
  <c r="P193" i="16" s="1"/>
  <c r="P195" i="16"/>
  <c r="L121" i="13"/>
  <c r="O121" i="13" s="1"/>
  <c r="I138" i="15"/>
  <c r="K138" i="15" s="1"/>
  <c r="T179" i="16"/>
  <c r="Q176" i="16"/>
  <c r="T176" i="16" s="1"/>
  <c r="L190" i="16"/>
  <c r="O190" i="16" s="1"/>
  <c r="L189" i="16"/>
  <c r="L187" i="16" s="1"/>
  <c r="R45" i="17"/>
  <c r="U45" i="17" s="1"/>
  <c r="K85" i="17"/>
  <c r="R98" i="17"/>
  <c r="U98" i="17" s="1"/>
  <c r="U100" i="17"/>
  <c r="T419" i="17"/>
  <c r="Q416" i="17"/>
  <c r="T416" i="17" s="1"/>
  <c r="Q417" i="17"/>
  <c r="T417" i="17" s="1"/>
  <c r="S618" i="1"/>
  <c r="M48" i="17"/>
  <c r="P48" i="17" s="1"/>
  <c r="P50" i="17"/>
  <c r="M47" i="17"/>
  <c r="M24" i="17"/>
  <c r="R379" i="15"/>
  <c r="U379" i="15" s="1"/>
  <c r="L160" i="16"/>
  <c r="L158" i="16" s="1"/>
  <c r="S645" i="16"/>
  <c r="S643" i="16" s="1"/>
  <c r="S646" i="16"/>
  <c r="L24" i="17"/>
  <c r="P53" i="17"/>
  <c r="M27" i="17"/>
  <c r="N76" i="17"/>
  <c r="N75" i="17"/>
  <c r="N73" i="17" s="1"/>
  <c r="N24" i="17"/>
  <c r="U159" i="17"/>
  <c r="T188" i="17"/>
  <c r="U284" i="17"/>
  <c r="R283" i="17"/>
  <c r="U283" i="17" s="1"/>
  <c r="L121" i="16"/>
  <c r="O121" i="16" s="1"/>
  <c r="L142" i="17"/>
  <c r="O145" i="17"/>
  <c r="L143" i="17"/>
  <c r="O143" i="17" s="1"/>
  <c r="M160" i="14"/>
  <c r="P160" i="14" s="1"/>
  <c r="R378" i="15"/>
  <c r="U378" i="15" s="1"/>
  <c r="N189" i="16"/>
  <c r="N359" i="16"/>
  <c r="N357" i="16" s="1"/>
  <c r="O362" i="16"/>
  <c r="Q24" i="17"/>
  <c r="Q98" i="17"/>
  <c r="T98" i="17" s="1"/>
  <c r="R142" i="17"/>
  <c r="U145" i="17"/>
  <c r="P268" i="17"/>
  <c r="S267" i="17"/>
  <c r="O322" i="17"/>
  <c r="I84" i="16"/>
  <c r="I72" i="16" s="1"/>
  <c r="K72" i="16" s="1"/>
  <c r="L97" i="16"/>
  <c r="L95" i="16" s="1"/>
  <c r="O95" i="16" s="1"/>
  <c r="R120" i="16"/>
  <c r="R118" i="16" s="1"/>
  <c r="K210" i="16"/>
  <c r="R24" i="17"/>
  <c r="R25" i="17"/>
  <c r="U25" i="17" s="1"/>
  <c r="O50" i="17"/>
  <c r="L48" i="17"/>
  <c r="O48" i="17" s="1"/>
  <c r="L47" i="17"/>
  <c r="M51" i="17"/>
  <c r="P51" i="17" s="1"/>
  <c r="K110" i="17"/>
  <c r="I94" i="17"/>
  <c r="K94" i="17" s="1"/>
  <c r="U119" i="17"/>
  <c r="I173" i="16"/>
  <c r="K173" i="16" s="1"/>
  <c r="P339" i="16"/>
  <c r="N51" i="17"/>
  <c r="N27" i="17"/>
  <c r="N25" i="17" s="1"/>
  <c r="M75" i="17"/>
  <c r="R76" i="17"/>
  <c r="U76" i="17" s="1"/>
  <c r="Q120" i="17"/>
  <c r="P143" i="17"/>
  <c r="O159" i="17"/>
  <c r="R160" i="17"/>
  <c r="U160" i="17" s="1"/>
  <c r="K230" i="17"/>
  <c r="I222" i="17"/>
  <c r="K222" i="17" s="1"/>
  <c r="T268" i="17"/>
  <c r="P272" i="17"/>
  <c r="M269" i="17"/>
  <c r="M270" i="17"/>
  <c r="P270" i="17" s="1"/>
  <c r="K293" i="17"/>
  <c r="I282" i="17"/>
  <c r="K282" i="17" s="1"/>
  <c r="R304" i="17"/>
  <c r="U377" i="17"/>
  <c r="L306" i="16"/>
  <c r="O306" i="16" s="1"/>
  <c r="N516" i="16"/>
  <c r="N514" i="16" s="1"/>
  <c r="Q45" i="17"/>
  <c r="T45" i="17" s="1"/>
  <c r="Q60" i="17"/>
  <c r="T60" i="17" s="1"/>
  <c r="O179" i="17"/>
  <c r="L176" i="17"/>
  <c r="Q190" i="17"/>
  <c r="Q189" i="17"/>
  <c r="T189" i="17" s="1"/>
  <c r="M324" i="17"/>
  <c r="P324" i="17" s="1"/>
  <c r="P326" i="17"/>
  <c r="M363" i="16"/>
  <c r="P363" i="16" s="1"/>
  <c r="I84" i="17"/>
  <c r="R95" i="17"/>
  <c r="U95" i="17" s="1"/>
  <c r="P305" i="17"/>
  <c r="L307" i="17"/>
  <c r="L306" i="17"/>
  <c r="M323" i="17"/>
  <c r="O415" i="17"/>
  <c r="L414" i="17"/>
  <c r="O414" i="17" s="1"/>
  <c r="P362" i="16"/>
  <c r="T499" i="16"/>
  <c r="T74" i="17"/>
  <c r="Q75" i="17"/>
  <c r="T75" i="17" s="1"/>
  <c r="T78" i="17"/>
  <c r="O100" i="17"/>
  <c r="O126" i="17"/>
  <c r="P141" i="17"/>
  <c r="P145" i="17"/>
  <c r="K170" i="17"/>
  <c r="I157" i="17"/>
  <c r="K157" i="17" s="1"/>
  <c r="P188" i="17"/>
  <c r="Q270" i="17"/>
  <c r="Q269" i="17"/>
  <c r="T269" i="17" s="1"/>
  <c r="O291" i="17"/>
  <c r="R307" i="17"/>
  <c r="U307" i="17" s="1"/>
  <c r="O358" i="17"/>
  <c r="U358" i="17"/>
  <c r="P377" i="17"/>
  <c r="M376" i="17"/>
  <c r="P376" i="17" s="1"/>
  <c r="K210" i="17"/>
  <c r="I203" i="17"/>
  <c r="K203" i="17" s="1"/>
  <c r="I239" i="17"/>
  <c r="K239" i="17" s="1"/>
  <c r="U272" i="17"/>
  <c r="P291" i="17"/>
  <c r="M285" i="17"/>
  <c r="P339" i="17"/>
  <c r="T381" i="17"/>
  <c r="Q378" i="17"/>
  <c r="Q379" i="17"/>
  <c r="K389" i="17"/>
  <c r="I375" i="17"/>
  <c r="K261" i="17"/>
  <c r="I254" i="17"/>
  <c r="O339" i="17"/>
  <c r="N337" i="17"/>
  <c r="P337" i="17" s="1"/>
  <c r="U381" i="17"/>
  <c r="R378" i="17"/>
  <c r="U378" i="17" s="1"/>
  <c r="R379" i="17"/>
  <c r="U379" i="17" s="1"/>
  <c r="P284" i="17"/>
  <c r="L324" i="17"/>
  <c r="O324" i="17" s="1"/>
  <c r="U335" i="17"/>
  <c r="O188" i="17"/>
  <c r="O268" i="17"/>
  <c r="J344" i="17"/>
  <c r="L336" i="17"/>
  <c r="P365" i="17"/>
  <c r="T415" i="17"/>
  <c r="P515" i="17"/>
  <c r="K633" i="17"/>
  <c r="K632" i="17"/>
  <c r="K631" i="17"/>
  <c r="K627" i="17"/>
  <c r="K630" i="17"/>
  <c r="K778" i="17"/>
  <c r="K784" i="17"/>
  <c r="U415" i="17"/>
  <c r="R414" i="17"/>
  <c r="U414" i="17" s="1"/>
  <c r="L494" i="17"/>
  <c r="O494" i="17" s="1"/>
  <c r="O496" i="17"/>
  <c r="M556" i="17"/>
  <c r="P556" i="17" s="1"/>
  <c r="P558" i="17"/>
  <c r="K616" i="17"/>
  <c r="U646" i="17"/>
  <c r="K708" i="17"/>
  <c r="I690" i="17"/>
  <c r="K690" i="17" s="1"/>
  <c r="T557" i="17"/>
  <c r="Q556" i="17"/>
  <c r="T556" i="17" s="1"/>
  <c r="M617" i="17"/>
  <c r="P617" i="17" s="1"/>
  <c r="P619" i="17"/>
  <c r="L643" i="17"/>
  <c r="O643" i="17" s="1"/>
  <c r="O645" i="17"/>
  <c r="I759" i="17"/>
  <c r="K759" i="17" s="1"/>
  <c r="K774" i="17"/>
  <c r="L520" i="17"/>
  <c r="O520" i="17" s="1"/>
  <c r="O522" i="17"/>
  <c r="L516" i="17"/>
  <c r="T763" i="17"/>
  <c r="M359" i="17"/>
  <c r="O377" i="17"/>
  <c r="L376" i="17"/>
  <c r="O376" i="17" s="1"/>
  <c r="M414" i="17"/>
  <c r="P414" i="17" s="1"/>
  <c r="P416" i="17"/>
  <c r="T618" i="17"/>
  <c r="L691" i="17"/>
  <c r="O691" i="17" s="1"/>
  <c r="O693" i="17"/>
  <c r="S731" i="17"/>
  <c r="S729" i="17" s="1"/>
  <c r="U734" i="17"/>
  <c r="S732" i="17"/>
  <c r="K780" i="17"/>
  <c r="P519" i="17"/>
  <c r="M535" i="17"/>
  <c r="P535" i="17" s="1"/>
  <c r="M577" i="17"/>
  <c r="P577" i="17" s="1"/>
  <c r="M600" i="17"/>
  <c r="P600" i="17" s="1"/>
  <c r="S645" i="17"/>
  <c r="O558" i="17"/>
  <c r="U558" i="17"/>
  <c r="O619" i="17"/>
  <c r="U123" i="16"/>
  <c r="S121" i="16"/>
  <c r="U121" i="16" s="1"/>
  <c r="S120" i="16"/>
  <c r="S118" i="16" s="1"/>
  <c r="L51" i="15"/>
  <c r="O51" i="15" s="1"/>
  <c r="T309" i="15"/>
  <c r="M327" i="15"/>
  <c r="P327" i="15" s="1"/>
  <c r="K347" i="15"/>
  <c r="P50" i="16"/>
  <c r="N63" i="16"/>
  <c r="O63" i="16" s="1"/>
  <c r="Q76" i="16"/>
  <c r="T76" i="16" s="1"/>
  <c r="O126" i="16"/>
  <c r="I139" i="16"/>
  <c r="K139" i="16" s="1"/>
  <c r="L164" i="16"/>
  <c r="O164" i="16" s="1"/>
  <c r="M273" i="16"/>
  <c r="P273" i="16" s="1"/>
  <c r="L289" i="16"/>
  <c r="O289" i="16" s="1"/>
  <c r="P291" i="16"/>
  <c r="N337" i="16"/>
  <c r="P337" i="16" s="1"/>
  <c r="P179" i="13"/>
  <c r="L234" i="15"/>
  <c r="R76" i="16"/>
  <c r="U76" i="16" s="1"/>
  <c r="O78" i="16"/>
  <c r="S97" i="16"/>
  <c r="S95" i="16" s="1"/>
  <c r="R98" i="16"/>
  <c r="U98" i="16" s="1"/>
  <c r="R97" i="16"/>
  <c r="R95" i="16" s="1"/>
  <c r="U95" i="16" s="1"/>
  <c r="O166" i="16"/>
  <c r="P272" i="16"/>
  <c r="M269" i="16"/>
  <c r="M267" i="16" s="1"/>
  <c r="I424" i="16"/>
  <c r="K424" i="16" s="1"/>
  <c r="R694" i="16"/>
  <c r="O195" i="15"/>
  <c r="O68" i="16"/>
  <c r="O123" i="16"/>
  <c r="S379" i="16"/>
  <c r="O519" i="16"/>
  <c r="M273" i="8"/>
  <c r="P273" i="8" s="1"/>
  <c r="U694" i="15"/>
  <c r="U734" i="15"/>
  <c r="I759" i="15"/>
  <c r="K759" i="15" s="1"/>
  <c r="O65" i="16"/>
  <c r="M120" i="16"/>
  <c r="P120" i="16" s="1"/>
  <c r="O275" i="16"/>
  <c r="L273" i="16"/>
  <c r="O273" i="16" s="1"/>
  <c r="J504" i="16"/>
  <c r="J493" i="16" s="1"/>
  <c r="K704" i="16"/>
  <c r="K710" i="16"/>
  <c r="U760" i="16"/>
  <c r="K772" i="16"/>
  <c r="K778" i="16"/>
  <c r="M121" i="13"/>
  <c r="P121" i="13" s="1"/>
  <c r="P78" i="15"/>
  <c r="I94" i="15"/>
  <c r="K94" i="15" s="1"/>
  <c r="S306" i="15"/>
  <c r="S304" i="15" s="1"/>
  <c r="P65" i="16"/>
  <c r="I138" i="16"/>
  <c r="K138" i="16" s="1"/>
  <c r="U163" i="16"/>
  <c r="R161" i="16"/>
  <c r="U161" i="16" s="1"/>
  <c r="R160" i="16"/>
  <c r="U160" i="16" s="1"/>
  <c r="P192" i="16"/>
  <c r="U272" i="16"/>
  <c r="R270" i="16"/>
  <c r="U270" i="16" s="1"/>
  <c r="I83" i="16"/>
  <c r="K83" i="16" s="1"/>
  <c r="T100" i="16"/>
  <c r="T163" i="16"/>
  <c r="N306" i="16"/>
  <c r="N304" i="16" s="1"/>
  <c r="K347" i="16"/>
  <c r="J352" i="16"/>
  <c r="J702" i="16"/>
  <c r="S763" i="16"/>
  <c r="K779" i="16"/>
  <c r="L237" i="16"/>
  <c r="K677" i="16"/>
  <c r="J703" i="16"/>
  <c r="K780" i="16"/>
  <c r="P78" i="16"/>
  <c r="M76" i="16"/>
  <c r="P76" i="16" s="1"/>
  <c r="M75" i="16"/>
  <c r="M73" i="16" s="1"/>
  <c r="N177" i="16"/>
  <c r="N176" i="16"/>
  <c r="U619" i="16"/>
  <c r="R617" i="16"/>
  <c r="U617" i="16" s="1"/>
  <c r="T123" i="16"/>
  <c r="Q121" i="16"/>
  <c r="L235" i="13"/>
  <c r="M310" i="13"/>
  <c r="P310" i="13" s="1"/>
  <c r="K345" i="14"/>
  <c r="K387" i="14"/>
  <c r="K109" i="15"/>
  <c r="P126" i="15"/>
  <c r="L143" i="15"/>
  <c r="O143" i="15" s="1"/>
  <c r="P182" i="15"/>
  <c r="M180" i="15"/>
  <c r="P180" i="15" s="1"/>
  <c r="L236" i="15"/>
  <c r="T499" i="15"/>
  <c r="Q497" i="15"/>
  <c r="T497" i="15" s="1"/>
  <c r="L75" i="16"/>
  <c r="L73" i="16" s="1"/>
  <c r="L79" i="16"/>
  <c r="O79" i="16" s="1"/>
  <c r="S161" i="16"/>
  <c r="S160" i="16"/>
  <c r="S158" i="16" s="1"/>
  <c r="K199" i="16"/>
  <c r="I196" i="16"/>
  <c r="K196" i="16" s="1"/>
  <c r="O339" i="16"/>
  <c r="L336" i="16"/>
  <c r="L334" i="16" s="1"/>
  <c r="L337" i="16"/>
  <c r="K372" i="16"/>
  <c r="I366" i="16"/>
  <c r="K366" i="16" s="1"/>
  <c r="I169" i="15"/>
  <c r="K169" i="15" s="1"/>
  <c r="I170" i="15"/>
  <c r="K170" i="15" s="1"/>
  <c r="K168" i="15"/>
  <c r="I157" i="15"/>
  <c r="K157" i="15" s="1"/>
  <c r="L236" i="13"/>
  <c r="N324" i="15"/>
  <c r="N323" i="15"/>
  <c r="N321" i="15" s="1"/>
  <c r="S417" i="15"/>
  <c r="S416" i="15"/>
  <c r="S414" i="15" s="1"/>
  <c r="Q496" i="15"/>
  <c r="T496" i="15" s="1"/>
  <c r="N143" i="16"/>
  <c r="N142" i="16"/>
  <c r="N140" i="16" s="1"/>
  <c r="K315" i="16"/>
  <c r="I303" i="16"/>
  <c r="K303" i="16" s="1"/>
  <c r="S417" i="16"/>
  <c r="S416" i="16"/>
  <c r="S414" i="16" s="1"/>
  <c r="S694" i="16"/>
  <c r="S693" i="16"/>
  <c r="S691" i="16" s="1"/>
  <c r="U696" i="16"/>
  <c r="N233" i="1"/>
  <c r="L66" i="14"/>
  <c r="O66" i="14" s="1"/>
  <c r="R161" i="14"/>
  <c r="U161" i="14" s="1"/>
  <c r="O342" i="14"/>
  <c r="U100" i="15"/>
  <c r="S24" i="16"/>
  <c r="O179" i="16"/>
  <c r="M176" i="16"/>
  <c r="M174" i="16" s="1"/>
  <c r="M27" i="16"/>
  <c r="P27" i="16" s="1"/>
  <c r="I303" i="12"/>
  <c r="K303" i="12" s="1"/>
  <c r="O179" i="13"/>
  <c r="L204" i="15"/>
  <c r="O204" i="15" s="1"/>
  <c r="I266" i="15"/>
  <c r="K266" i="15" s="1"/>
  <c r="N307" i="15"/>
  <c r="N306" i="15"/>
  <c r="N304" i="15" s="1"/>
  <c r="P190" i="16"/>
  <c r="T648" i="16"/>
  <c r="Q645" i="16"/>
  <c r="Q646" i="16"/>
  <c r="L223" i="15"/>
  <c r="O223" i="15" s="1"/>
  <c r="N516" i="15"/>
  <c r="N514" i="15" s="1"/>
  <c r="U763" i="15"/>
  <c r="N48" i="16"/>
  <c r="P48" i="16" s="1"/>
  <c r="L76" i="16"/>
  <c r="O76" i="16" s="1"/>
  <c r="N120" i="16"/>
  <c r="N118" i="16" s="1"/>
  <c r="S140" i="16"/>
  <c r="O145" i="16"/>
  <c r="L177" i="16"/>
  <c r="O192" i="16"/>
  <c r="N269" i="16"/>
  <c r="N267" i="16" s="1"/>
  <c r="R379" i="16"/>
  <c r="U379" i="16" s="1"/>
  <c r="T419" i="16"/>
  <c r="P519" i="16"/>
  <c r="U648" i="16"/>
  <c r="R646" i="16"/>
  <c r="R645" i="16"/>
  <c r="T734" i="16"/>
  <c r="T765" i="16"/>
  <c r="N24" i="16"/>
  <c r="N22" i="16" s="1"/>
  <c r="N27" i="16"/>
  <c r="N25" i="16" s="1"/>
  <c r="N75" i="16"/>
  <c r="M79" i="16"/>
  <c r="P79" i="16" s="1"/>
  <c r="M97" i="16"/>
  <c r="P97" i="16" s="1"/>
  <c r="M98" i="16"/>
  <c r="P98" i="16" s="1"/>
  <c r="L143" i="16"/>
  <c r="O143" i="16" s="1"/>
  <c r="I239" i="16"/>
  <c r="K239" i="16" s="1"/>
  <c r="I254" i="16"/>
  <c r="K254" i="16" s="1"/>
  <c r="P286" i="16"/>
  <c r="M307" i="16"/>
  <c r="P307" i="16" s="1"/>
  <c r="K331" i="16"/>
  <c r="S376" i="16"/>
  <c r="K387" i="16"/>
  <c r="I457" i="16"/>
  <c r="K457" i="16" s="1"/>
  <c r="T622" i="16"/>
  <c r="U734" i="16"/>
  <c r="R732" i="16"/>
  <c r="R731" i="16"/>
  <c r="R729" i="16" s="1"/>
  <c r="Q763" i="16"/>
  <c r="K781" i="16"/>
  <c r="L176" i="15"/>
  <c r="L174" i="15" s="1"/>
  <c r="P326" i="15"/>
  <c r="L24" i="16"/>
  <c r="N97" i="16"/>
  <c r="N95" i="16" s="1"/>
  <c r="Q177" i="16"/>
  <c r="T177" i="16" s="1"/>
  <c r="L244" i="16"/>
  <c r="O244" i="16" s="1"/>
  <c r="U622" i="16"/>
  <c r="R620" i="16"/>
  <c r="K679" i="16"/>
  <c r="M323" i="15"/>
  <c r="U78" i="16"/>
  <c r="N323" i="16"/>
  <c r="N321" i="16" s="1"/>
  <c r="T696" i="16"/>
  <c r="R143" i="16"/>
  <c r="U143" i="16" s="1"/>
  <c r="Q187" i="16"/>
  <c r="M189" i="16"/>
  <c r="L236" i="16"/>
  <c r="L269" i="16"/>
  <c r="L267" i="16" s="1"/>
  <c r="O267" i="16" s="1"/>
  <c r="L270" i="16"/>
  <c r="O270" i="16" s="1"/>
  <c r="M359" i="16"/>
  <c r="O360" i="16"/>
  <c r="K369" i="16"/>
  <c r="S496" i="16"/>
  <c r="S494" i="16" s="1"/>
  <c r="Q619" i="16"/>
  <c r="T619" i="16" s="1"/>
  <c r="Q620" i="16"/>
  <c r="K706" i="16"/>
  <c r="U765" i="16"/>
  <c r="R763" i="16"/>
  <c r="J675" i="16"/>
  <c r="K675" i="16" s="1"/>
  <c r="U762" i="16"/>
  <c r="K782" i="16"/>
  <c r="K785" i="16"/>
  <c r="M340" i="14"/>
  <c r="P340" i="14" s="1"/>
  <c r="S97" i="13"/>
  <c r="S95" i="13" s="1"/>
  <c r="I139" i="14"/>
  <c r="K139" i="14" s="1"/>
  <c r="L517" i="14"/>
  <c r="O517" i="14" s="1"/>
  <c r="N176" i="13"/>
  <c r="N174" i="13" s="1"/>
  <c r="L234" i="13"/>
  <c r="O126" i="14"/>
  <c r="N176" i="14"/>
  <c r="N174" i="14" s="1"/>
  <c r="M269" i="14"/>
  <c r="M267" i="14" s="1"/>
  <c r="J675" i="14"/>
  <c r="I84" i="15"/>
  <c r="I72" i="15" s="1"/>
  <c r="K72" i="15" s="1"/>
  <c r="I196" i="15"/>
  <c r="K196" i="15" s="1"/>
  <c r="K250" i="15"/>
  <c r="S269" i="15"/>
  <c r="S267" i="15" s="1"/>
  <c r="M273" i="15"/>
  <c r="P273" i="15" s="1"/>
  <c r="I282" i="15"/>
  <c r="K282" i="15" s="1"/>
  <c r="N359" i="15"/>
  <c r="N357" i="15" s="1"/>
  <c r="M520" i="15"/>
  <c r="P520" i="15" s="1"/>
  <c r="S762" i="15"/>
  <c r="S760" i="15" s="1"/>
  <c r="T765" i="15"/>
  <c r="K778" i="15"/>
  <c r="K781" i="15"/>
  <c r="K784" i="15"/>
  <c r="Q20" i="16"/>
  <c r="M24" i="16"/>
  <c r="M22" i="16" s="1"/>
  <c r="R60" i="16"/>
  <c r="U60" i="16" s="1"/>
  <c r="K87" i="16"/>
  <c r="K90" i="16"/>
  <c r="I94" i="16"/>
  <c r="K94" i="16" s="1"/>
  <c r="M101" i="16"/>
  <c r="P101" i="16" s="1"/>
  <c r="I117" i="16"/>
  <c r="K117" i="16" s="1"/>
  <c r="M124" i="16"/>
  <c r="P124" i="16" s="1"/>
  <c r="S143" i="16"/>
  <c r="P163" i="16"/>
  <c r="M161" i="16"/>
  <c r="I170" i="16"/>
  <c r="K170" i="16" s="1"/>
  <c r="K168" i="16"/>
  <c r="U175" i="16"/>
  <c r="Q190" i="16"/>
  <c r="T192" i="16"/>
  <c r="L255" i="16"/>
  <c r="O255" i="16" s="1"/>
  <c r="L234" i="16"/>
  <c r="R269" i="16"/>
  <c r="M327" i="16"/>
  <c r="P327" i="16" s="1"/>
  <c r="P329" i="16"/>
  <c r="M323" i="16"/>
  <c r="P323" i="16" s="1"/>
  <c r="U419" i="15"/>
  <c r="I616" i="15"/>
  <c r="J703" i="15"/>
  <c r="L51" i="16"/>
  <c r="O51" i="16" s="1"/>
  <c r="L27" i="16"/>
  <c r="O27" i="16" s="1"/>
  <c r="P68" i="16"/>
  <c r="M62" i="16"/>
  <c r="Q142" i="16"/>
  <c r="N161" i="16"/>
  <c r="O161" i="16" s="1"/>
  <c r="O163" i="16"/>
  <c r="U192" i="16"/>
  <c r="R189" i="16"/>
  <c r="T309" i="16"/>
  <c r="Q307" i="16"/>
  <c r="L120" i="15"/>
  <c r="O120" i="15" s="1"/>
  <c r="R417" i="15"/>
  <c r="U417" i="15" s="1"/>
  <c r="K633" i="15"/>
  <c r="Q645" i="15"/>
  <c r="Q643" i="15" s="1"/>
  <c r="K677" i="15"/>
  <c r="P46" i="16"/>
  <c r="L47" i="16"/>
  <c r="L45" i="16" s="1"/>
  <c r="O50" i="16"/>
  <c r="P53" i="16"/>
  <c r="M47" i="16"/>
  <c r="O141" i="16"/>
  <c r="T145" i="16"/>
  <c r="O175" i="16"/>
  <c r="K230" i="16"/>
  <c r="Q267" i="16"/>
  <c r="R307" i="16"/>
  <c r="U309" i="16"/>
  <c r="R306" i="16"/>
  <c r="U306" i="16" s="1"/>
  <c r="P358" i="16"/>
  <c r="Q121" i="15"/>
  <c r="T121" i="15" s="1"/>
  <c r="M164" i="15"/>
  <c r="P164" i="15" s="1"/>
  <c r="R177" i="15"/>
  <c r="U177" i="15" s="1"/>
  <c r="L180" i="15"/>
  <c r="O180" i="15" s="1"/>
  <c r="M189" i="15"/>
  <c r="M187" i="15" s="1"/>
  <c r="U192" i="15"/>
  <c r="L269" i="15"/>
  <c r="L267" i="15" s="1"/>
  <c r="O267" i="15" s="1"/>
  <c r="P337" i="15"/>
  <c r="K345" i="15"/>
  <c r="M359" i="15"/>
  <c r="M357" i="15" s="1"/>
  <c r="L363" i="15"/>
  <c r="O363" i="15" s="1"/>
  <c r="M516" i="15"/>
  <c r="P516" i="15" s="1"/>
  <c r="P519" i="15"/>
  <c r="K706" i="15"/>
  <c r="K782" i="15"/>
  <c r="M20" i="16"/>
  <c r="N47" i="16"/>
  <c r="N45" i="16" s="1"/>
  <c r="R24" i="16"/>
  <c r="I93" i="16"/>
  <c r="K93" i="16" s="1"/>
  <c r="Q97" i="16"/>
  <c r="Q120" i="16"/>
  <c r="M142" i="16"/>
  <c r="P175" i="16"/>
  <c r="P179" i="16"/>
  <c r="M177" i="16"/>
  <c r="T284" i="16"/>
  <c r="Q283" i="16"/>
  <c r="T283" i="16" s="1"/>
  <c r="N285" i="16"/>
  <c r="N283" i="16" s="1"/>
  <c r="N289" i="16"/>
  <c r="M306" i="16"/>
  <c r="N47" i="15"/>
  <c r="N45" i="15" s="1"/>
  <c r="R189" i="15"/>
  <c r="R187" i="15" s="1"/>
  <c r="L237" i="15"/>
  <c r="M269" i="15"/>
  <c r="M267" i="15" s="1"/>
  <c r="L324" i="15"/>
  <c r="O324" i="15" s="1"/>
  <c r="K370" i="15"/>
  <c r="U20" i="16"/>
  <c r="T23" i="16"/>
  <c r="Q24" i="16"/>
  <c r="Q22" i="16" s="1"/>
  <c r="O53" i="16"/>
  <c r="R73" i="16"/>
  <c r="O74" i="16"/>
  <c r="O81" i="16"/>
  <c r="P159" i="16"/>
  <c r="L215" i="16"/>
  <c r="O215" i="16" s="1"/>
  <c r="Q270" i="16"/>
  <c r="T270" i="16" s="1"/>
  <c r="T272" i="16"/>
  <c r="R283" i="16"/>
  <c r="U283" i="16" s="1"/>
  <c r="L286" i="16"/>
  <c r="O286" i="16" s="1"/>
  <c r="O288" i="16"/>
  <c r="K294" i="16"/>
  <c r="I281" i="16"/>
  <c r="K281" i="16" s="1"/>
  <c r="T305" i="16"/>
  <c r="P312" i="16"/>
  <c r="M310" i="16"/>
  <c r="P310" i="16" s="1"/>
  <c r="Q334" i="16"/>
  <c r="T334" i="16" s="1"/>
  <c r="N75" i="15"/>
  <c r="N73" i="15" s="1"/>
  <c r="M66" i="16"/>
  <c r="P66" i="16" s="1"/>
  <c r="Q98" i="16"/>
  <c r="T98" i="16" s="1"/>
  <c r="P182" i="16"/>
  <c r="M180" i="16"/>
  <c r="P180" i="16" s="1"/>
  <c r="P288" i="16"/>
  <c r="M285" i="16"/>
  <c r="Q306" i="16"/>
  <c r="T306" i="16" s="1"/>
  <c r="N327" i="16"/>
  <c r="O329" i="16"/>
  <c r="L323" i="16"/>
  <c r="L327" i="16"/>
  <c r="O327" i="16" s="1"/>
  <c r="P166" i="16"/>
  <c r="M164" i="16"/>
  <c r="P164" i="16" s="1"/>
  <c r="L204" i="16"/>
  <c r="O204" i="16" s="1"/>
  <c r="K250" i="16"/>
  <c r="I243" i="16"/>
  <c r="P270" i="16"/>
  <c r="L307" i="16"/>
  <c r="O307" i="16" s="1"/>
  <c r="O309" i="16"/>
  <c r="L310" i="16"/>
  <c r="O310" i="16" s="1"/>
  <c r="O312" i="16"/>
  <c r="J344" i="16"/>
  <c r="J333" i="16"/>
  <c r="L363" i="16"/>
  <c r="O363" i="16" s="1"/>
  <c r="O365" i="16"/>
  <c r="L359" i="16"/>
  <c r="N336" i="16"/>
  <c r="N334" i="16" s="1"/>
  <c r="M340" i="16"/>
  <c r="P340" i="16" s="1"/>
  <c r="O358" i="16"/>
  <c r="U358" i="16"/>
  <c r="M360" i="16"/>
  <c r="P360" i="16" s="1"/>
  <c r="I375" i="16"/>
  <c r="U377" i="16"/>
  <c r="S731" i="16"/>
  <c r="S729" i="16" s="1"/>
  <c r="S732" i="16"/>
  <c r="T732" i="16" s="1"/>
  <c r="I759" i="16"/>
  <c r="K759" i="16" s="1"/>
  <c r="K774" i="16"/>
  <c r="M414" i="16"/>
  <c r="P414" i="16" s="1"/>
  <c r="P416" i="16"/>
  <c r="Q494" i="16"/>
  <c r="T494" i="16" s="1"/>
  <c r="T496" i="16"/>
  <c r="L520" i="16"/>
  <c r="O520" i="16" s="1"/>
  <c r="O522" i="16"/>
  <c r="L516" i="16"/>
  <c r="K784" i="16"/>
  <c r="T415" i="16"/>
  <c r="M556" i="16"/>
  <c r="P556" i="16" s="1"/>
  <c r="P558" i="16"/>
  <c r="K708" i="16"/>
  <c r="I690" i="16"/>
  <c r="K690" i="16" s="1"/>
  <c r="T381" i="16"/>
  <c r="Q378" i="16"/>
  <c r="Q379" i="16"/>
  <c r="T557" i="16"/>
  <c r="Q556" i="16"/>
  <c r="T556" i="16" s="1"/>
  <c r="M617" i="16"/>
  <c r="P617" i="16" s="1"/>
  <c r="P619" i="16"/>
  <c r="L643" i="16"/>
  <c r="O643" i="16" s="1"/>
  <c r="O645" i="16"/>
  <c r="Q760" i="16"/>
  <c r="T760" i="16" s="1"/>
  <c r="T762" i="16"/>
  <c r="P515" i="16"/>
  <c r="T618" i="16"/>
  <c r="K633" i="16"/>
  <c r="K632" i="16"/>
  <c r="K631" i="16"/>
  <c r="K627" i="16"/>
  <c r="K630" i="16"/>
  <c r="I333" i="16"/>
  <c r="M336" i="16"/>
  <c r="I616" i="16"/>
  <c r="K616" i="16" s="1"/>
  <c r="K506" i="16"/>
  <c r="Q694" i="16"/>
  <c r="I702" i="16"/>
  <c r="O496" i="16"/>
  <c r="M516" i="16"/>
  <c r="P516" i="16" s="1"/>
  <c r="P522" i="16"/>
  <c r="L691" i="16"/>
  <c r="O691" i="16" s="1"/>
  <c r="R691" i="16"/>
  <c r="Q693" i="16"/>
  <c r="J675" i="13"/>
  <c r="N62" i="15"/>
  <c r="N60" i="15" s="1"/>
  <c r="S75" i="15"/>
  <c r="S73" i="15" s="1"/>
  <c r="T78" i="15"/>
  <c r="M176" i="15"/>
  <c r="M174" i="15" s="1"/>
  <c r="Q190" i="15"/>
  <c r="I222" i="15"/>
  <c r="K222" i="15" s="1"/>
  <c r="P272" i="15"/>
  <c r="J333" i="15"/>
  <c r="K333" i="15" s="1"/>
  <c r="Q416" i="15"/>
  <c r="T416" i="15" s="1"/>
  <c r="K630" i="15"/>
  <c r="K662" i="15"/>
  <c r="J702" i="15"/>
  <c r="L234" i="14"/>
  <c r="P76" i="15"/>
  <c r="U78" i="15"/>
  <c r="L101" i="15"/>
  <c r="O101" i="15" s="1"/>
  <c r="O123" i="15"/>
  <c r="L142" i="15"/>
  <c r="O142" i="15" s="1"/>
  <c r="M160" i="15"/>
  <c r="M158" i="15" s="1"/>
  <c r="L215" i="15"/>
  <c r="O215" i="15" s="1"/>
  <c r="L255" i="15"/>
  <c r="O255" i="15" s="1"/>
  <c r="R269" i="15"/>
  <c r="R267" i="15" s="1"/>
  <c r="T270" i="15"/>
  <c r="P291" i="15"/>
  <c r="N336" i="15"/>
  <c r="N334" i="15" s="1"/>
  <c r="Q619" i="15"/>
  <c r="Q617" i="15" s="1"/>
  <c r="K631" i="15"/>
  <c r="K779" i="15"/>
  <c r="L121" i="14"/>
  <c r="O121" i="14" s="1"/>
  <c r="M336" i="14"/>
  <c r="M334" i="14" s="1"/>
  <c r="Q763" i="14"/>
  <c r="R95" i="15"/>
  <c r="L146" i="15"/>
  <c r="O146" i="15" s="1"/>
  <c r="U270" i="15"/>
  <c r="T622" i="15"/>
  <c r="N97" i="14"/>
  <c r="N95" i="14" s="1"/>
  <c r="Q270" i="14"/>
  <c r="T270" i="14" s="1"/>
  <c r="J703" i="14"/>
  <c r="M51" i="15"/>
  <c r="P51" i="15" s="1"/>
  <c r="L66" i="15"/>
  <c r="O66" i="15" s="1"/>
  <c r="L79" i="15"/>
  <c r="O79" i="15" s="1"/>
  <c r="I117" i="15"/>
  <c r="K117" i="15" s="1"/>
  <c r="P148" i="15"/>
  <c r="L164" i="15"/>
  <c r="O164" i="15" s="1"/>
  <c r="I214" i="15"/>
  <c r="K214" i="15" s="1"/>
  <c r="L235" i="15"/>
  <c r="M306" i="15"/>
  <c r="M304" i="15" s="1"/>
  <c r="P304" i="15" s="1"/>
  <c r="K674" i="15"/>
  <c r="U163" i="14"/>
  <c r="J676" i="14"/>
  <c r="U696" i="15"/>
  <c r="T176" i="15"/>
  <c r="Q174" i="15"/>
  <c r="T174" i="15" s="1"/>
  <c r="L516" i="15"/>
  <c r="O519" i="15"/>
  <c r="L517" i="15"/>
  <c r="O517" i="15" s="1"/>
  <c r="R378" i="12"/>
  <c r="U378" i="12" s="1"/>
  <c r="T123" i="15"/>
  <c r="Q140" i="15"/>
  <c r="T140" i="15" s="1"/>
  <c r="K155" i="15"/>
  <c r="O177" i="15"/>
  <c r="N189" i="15"/>
  <c r="N187" i="15" s="1"/>
  <c r="S497" i="15"/>
  <c r="S496" i="15"/>
  <c r="S494" i="15" s="1"/>
  <c r="S120" i="15"/>
  <c r="S118" i="15" s="1"/>
  <c r="K250" i="13"/>
  <c r="I282" i="13"/>
  <c r="K282" i="13" s="1"/>
  <c r="L120" i="14"/>
  <c r="L118" i="14" s="1"/>
  <c r="O118" i="14" s="1"/>
  <c r="L215" i="14"/>
  <c r="O215" i="14" s="1"/>
  <c r="M517" i="14"/>
  <c r="P517" i="14" s="1"/>
  <c r="M27" i="15"/>
  <c r="P27" i="15" s="1"/>
  <c r="Q75" i="15"/>
  <c r="Q76" i="15"/>
  <c r="T76" i="15" s="1"/>
  <c r="L24" i="15"/>
  <c r="I83" i="15"/>
  <c r="M120" i="15"/>
  <c r="M121" i="15"/>
  <c r="P121" i="15" s="1"/>
  <c r="U123" i="15"/>
  <c r="I139" i="15"/>
  <c r="K139" i="15" s="1"/>
  <c r="K184" i="15"/>
  <c r="K261" i="15"/>
  <c r="L286" i="15"/>
  <c r="O286" i="15" s="1"/>
  <c r="L285" i="15"/>
  <c r="L283" i="15" s="1"/>
  <c r="L289" i="15"/>
  <c r="O289" i="15" s="1"/>
  <c r="O291" i="15"/>
  <c r="K315" i="15"/>
  <c r="I303" i="15"/>
  <c r="K303" i="15" s="1"/>
  <c r="N360" i="15"/>
  <c r="P360" i="15" s="1"/>
  <c r="P362" i="15"/>
  <c r="U499" i="15"/>
  <c r="R497" i="15"/>
  <c r="U497" i="15" s="1"/>
  <c r="L75" i="13"/>
  <c r="O75" i="13" s="1"/>
  <c r="L79" i="13"/>
  <c r="O79" i="13" s="1"/>
  <c r="L204" i="14"/>
  <c r="O204" i="14" s="1"/>
  <c r="K458" i="14"/>
  <c r="T98" i="15"/>
  <c r="N120" i="15"/>
  <c r="N118" i="15" s="1"/>
  <c r="L124" i="15"/>
  <c r="O124" i="15" s="1"/>
  <c r="Q143" i="15"/>
  <c r="T143" i="15" s="1"/>
  <c r="R161" i="15"/>
  <c r="U161" i="15" s="1"/>
  <c r="T163" i="15"/>
  <c r="N176" i="15"/>
  <c r="T192" i="15"/>
  <c r="S189" i="15"/>
  <c r="L244" i="15"/>
  <c r="O244" i="15" s="1"/>
  <c r="K252" i="15"/>
  <c r="I241" i="15"/>
  <c r="K241" i="15" s="1"/>
  <c r="M286" i="15"/>
  <c r="P286" i="15" s="1"/>
  <c r="M285" i="15"/>
  <c r="M283" i="15" s="1"/>
  <c r="R307" i="15"/>
  <c r="U307" i="15" s="1"/>
  <c r="R306" i="15"/>
  <c r="R304" i="15" s="1"/>
  <c r="L310" i="15"/>
  <c r="O310" i="15" s="1"/>
  <c r="L306" i="15"/>
  <c r="L304" i="15" s="1"/>
  <c r="O304" i="15" s="1"/>
  <c r="J352" i="15"/>
  <c r="K441" i="15"/>
  <c r="I424" i="15"/>
  <c r="K424" i="15" s="1"/>
  <c r="J675" i="15"/>
  <c r="K675" i="15" s="1"/>
  <c r="I702" i="15"/>
  <c r="K704" i="15"/>
  <c r="R645" i="2"/>
  <c r="R643" i="2" s="1"/>
  <c r="O179" i="14"/>
  <c r="I375" i="14"/>
  <c r="T145" i="15"/>
  <c r="U163" i="15"/>
  <c r="O179" i="15"/>
  <c r="P190" i="15"/>
  <c r="L190" i="15"/>
  <c r="O190" i="15" s="1"/>
  <c r="O192" i="15"/>
  <c r="L337" i="15"/>
  <c r="O337" i="15" s="1"/>
  <c r="O339" i="15"/>
  <c r="K372" i="15"/>
  <c r="I366" i="15"/>
  <c r="K366" i="15" s="1"/>
  <c r="N763" i="1"/>
  <c r="I254" i="13"/>
  <c r="K254" i="13" s="1"/>
  <c r="M66" i="14"/>
  <c r="P66" i="14" s="1"/>
  <c r="P166" i="14"/>
  <c r="N177" i="14"/>
  <c r="O177" i="14" s="1"/>
  <c r="K369" i="14"/>
  <c r="K372" i="14"/>
  <c r="J375" i="14"/>
  <c r="N516" i="14"/>
  <c r="N514" i="14" s="1"/>
  <c r="K779" i="14"/>
  <c r="S24" i="15"/>
  <c r="S21" i="15" s="1"/>
  <c r="S19" i="15" s="1"/>
  <c r="L76" i="15"/>
  <c r="O76" i="15" s="1"/>
  <c r="O78" i="15"/>
  <c r="U121" i="15"/>
  <c r="U145" i="15"/>
  <c r="P179" i="15"/>
  <c r="L189" i="15"/>
  <c r="L187" i="15" s="1"/>
  <c r="K253" i="15"/>
  <c r="Q306" i="15"/>
  <c r="N340" i="15"/>
  <c r="R496" i="15"/>
  <c r="K504" i="15"/>
  <c r="I493" i="15"/>
  <c r="K493" i="15" s="1"/>
  <c r="S619" i="15"/>
  <c r="S617" i="15" s="1"/>
  <c r="S620" i="15"/>
  <c r="T620" i="15" s="1"/>
  <c r="T646" i="15"/>
  <c r="P270" i="15"/>
  <c r="L323" i="15"/>
  <c r="L321" i="15" s="1"/>
  <c r="O321" i="15" s="1"/>
  <c r="K369" i="15"/>
  <c r="J504" i="15"/>
  <c r="J493" i="15" s="1"/>
  <c r="L520" i="15"/>
  <c r="O520" i="15" s="1"/>
  <c r="K682" i="15"/>
  <c r="T696" i="15"/>
  <c r="S731" i="15"/>
  <c r="S729" i="15" s="1"/>
  <c r="I239" i="15"/>
  <c r="K239" i="15" s="1"/>
  <c r="N269" i="15"/>
  <c r="N267" i="15" s="1"/>
  <c r="N285" i="15"/>
  <c r="N283" i="15" s="1"/>
  <c r="M336" i="15"/>
  <c r="M334" i="15" s="1"/>
  <c r="S378" i="15"/>
  <c r="S376" i="15" s="1"/>
  <c r="T732" i="15"/>
  <c r="T648" i="15"/>
  <c r="K679" i="15"/>
  <c r="K727" i="15"/>
  <c r="R732" i="15"/>
  <c r="U732" i="15" s="1"/>
  <c r="R731" i="15"/>
  <c r="Q763" i="15"/>
  <c r="T763" i="15" s="1"/>
  <c r="K387" i="15"/>
  <c r="U622" i="15"/>
  <c r="U648" i="15"/>
  <c r="K680" i="15"/>
  <c r="K780" i="15"/>
  <c r="K783" i="15"/>
  <c r="T20" i="15"/>
  <c r="U61" i="15"/>
  <c r="R60" i="15"/>
  <c r="U60" i="15" s="1"/>
  <c r="L22" i="15"/>
  <c r="Q118" i="15"/>
  <c r="M143" i="15"/>
  <c r="P143" i="15" s="1"/>
  <c r="P145" i="15"/>
  <c r="M142" i="15"/>
  <c r="P142" i="15" s="1"/>
  <c r="K347" i="13"/>
  <c r="J352" i="13"/>
  <c r="K153" i="14"/>
  <c r="K780" i="14"/>
  <c r="M24" i="15"/>
  <c r="M22" i="15" s="1"/>
  <c r="U46" i="15"/>
  <c r="R45" i="15"/>
  <c r="U45" i="15" s="1"/>
  <c r="P141" i="15"/>
  <c r="N146" i="15"/>
  <c r="N142" i="15"/>
  <c r="N140" i="15" s="1"/>
  <c r="M97" i="10"/>
  <c r="M95" i="10" s="1"/>
  <c r="I84" i="14"/>
  <c r="I72" i="14" s="1"/>
  <c r="K72" i="14" s="1"/>
  <c r="R120" i="14"/>
  <c r="R118" i="14" s="1"/>
  <c r="L307" i="14"/>
  <c r="O307" i="14" s="1"/>
  <c r="K331" i="14"/>
  <c r="U765" i="14"/>
  <c r="O61" i="15"/>
  <c r="U74" i="15"/>
  <c r="N98" i="15"/>
  <c r="O98" i="15" s="1"/>
  <c r="N97" i="15"/>
  <c r="N95" i="15" s="1"/>
  <c r="P163" i="15"/>
  <c r="N160" i="15"/>
  <c r="O163" i="15"/>
  <c r="M75" i="14"/>
  <c r="M73" i="14" s="1"/>
  <c r="N336" i="14"/>
  <c r="N334" i="14" s="1"/>
  <c r="K370" i="14"/>
  <c r="S497" i="14"/>
  <c r="R763" i="14"/>
  <c r="T26" i="15"/>
  <c r="Q25" i="15"/>
  <c r="T25" i="15" s="1"/>
  <c r="O46" i="15"/>
  <c r="N63" i="15"/>
  <c r="P63" i="15" s="1"/>
  <c r="P65" i="15"/>
  <c r="O65" i="15"/>
  <c r="Q158" i="15"/>
  <c r="T158" i="15" s="1"/>
  <c r="T160" i="15"/>
  <c r="N142" i="14"/>
  <c r="N140" i="14" s="1"/>
  <c r="I157" i="14"/>
  <c r="K157" i="14" s="1"/>
  <c r="L189" i="14"/>
  <c r="L187" i="14" s="1"/>
  <c r="M323" i="14"/>
  <c r="P323" i="14" s="1"/>
  <c r="O329" i="14"/>
  <c r="S732" i="14"/>
  <c r="U732" i="14" s="1"/>
  <c r="T762" i="14"/>
  <c r="S763" i="14"/>
  <c r="T23" i="15"/>
  <c r="N48" i="15"/>
  <c r="P48" i="15" s="1"/>
  <c r="P50" i="15"/>
  <c r="O50" i="15"/>
  <c r="N24" i="15"/>
  <c r="O74" i="15"/>
  <c r="U188" i="15"/>
  <c r="M177" i="13"/>
  <c r="P177" i="13" s="1"/>
  <c r="O519" i="13"/>
  <c r="T272" i="14"/>
  <c r="N285" i="14"/>
  <c r="N283" i="14" s="1"/>
  <c r="T734" i="14"/>
  <c r="T765" i="14"/>
  <c r="S143" i="15"/>
  <c r="S142" i="15"/>
  <c r="S140" i="15" s="1"/>
  <c r="N161" i="15"/>
  <c r="P161" i="15" s="1"/>
  <c r="N27" i="15"/>
  <c r="N25" i="15" s="1"/>
  <c r="R76" i="15"/>
  <c r="U76" i="15" s="1"/>
  <c r="M79" i="15"/>
  <c r="P79" i="15" s="1"/>
  <c r="L97" i="15"/>
  <c r="P100" i="15"/>
  <c r="M101" i="15"/>
  <c r="P101" i="15" s="1"/>
  <c r="R120" i="15"/>
  <c r="R142" i="15"/>
  <c r="P177" i="15"/>
  <c r="M97" i="15"/>
  <c r="R98" i="15"/>
  <c r="U98" i="15" s="1"/>
  <c r="Q161" i="15"/>
  <c r="T161" i="15" s="1"/>
  <c r="Q177" i="15"/>
  <c r="T177" i="15" s="1"/>
  <c r="T179" i="15"/>
  <c r="O188" i="15"/>
  <c r="P188" i="15"/>
  <c r="Q24" i="15"/>
  <c r="L47" i="15"/>
  <c r="L62" i="15"/>
  <c r="L75" i="15"/>
  <c r="R75" i="15"/>
  <c r="K86" i="15"/>
  <c r="O100" i="15"/>
  <c r="R176" i="15"/>
  <c r="K210" i="15"/>
  <c r="I203" i="15"/>
  <c r="K203" i="15" s="1"/>
  <c r="R24" i="15"/>
  <c r="L27" i="15"/>
  <c r="M47" i="15"/>
  <c r="M62" i="15"/>
  <c r="M75" i="15"/>
  <c r="T96" i="15"/>
  <c r="Q97" i="15"/>
  <c r="T100" i="15"/>
  <c r="R158" i="15"/>
  <c r="U158" i="15" s="1"/>
  <c r="P192" i="15"/>
  <c r="P195" i="15"/>
  <c r="T272" i="15"/>
  <c r="Q283" i="15"/>
  <c r="T283" i="15" s="1"/>
  <c r="U285" i="15"/>
  <c r="O288" i="15"/>
  <c r="N289" i="15"/>
  <c r="Q307" i="15"/>
  <c r="T307" i="15" s="1"/>
  <c r="O309" i="15"/>
  <c r="U309" i="15"/>
  <c r="O312" i="15"/>
  <c r="L327" i="15"/>
  <c r="O327" i="15" s="1"/>
  <c r="O377" i="15"/>
  <c r="L376" i="15"/>
  <c r="O376" i="15" s="1"/>
  <c r="S190" i="15"/>
  <c r="U190" i="15" s="1"/>
  <c r="O272" i="15"/>
  <c r="U272" i="15"/>
  <c r="O275" i="15"/>
  <c r="I281" i="15"/>
  <c r="K281" i="15" s="1"/>
  <c r="P288" i="15"/>
  <c r="P309" i="15"/>
  <c r="P312" i="15"/>
  <c r="T323" i="15"/>
  <c r="R357" i="15"/>
  <c r="U357" i="15" s="1"/>
  <c r="U359" i="15"/>
  <c r="L360" i="15"/>
  <c r="O362" i="15"/>
  <c r="T381" i="15"/>
  <c r="Q378" i="15"/>
  <c r="Q379" i="15"/>
  <c r="T379" i="15" s="1"/>
  <c r="I375" i="15"/>
  <c r="K389" i="15"/>
  <c r="L359" i="15"/>
  <c r="N376" i="15"/>
  <c r="M414" i="15"/>
  <c r="P414" i="15" s="1"/>
  <c r="P416" i="15"/>
  <c r="P335" i="15"/>
  <c r="U377" i="15"/>
  <c r="T415" i="15"/>
  <c r="I232" i="15"/>
  <c r="L340" i="15"/>
  <c r="O340" i="15" s="1"/>
  <c r="O342" i="15"/>
  <c r="L336" i="15"/>
  <c r="L334" i="15" s="1"/>
  <c r="U646" i="15"/>
  <c r="K505" i="15"/>
  <c r="L577" i="15"/>
  <c r="O577" i="15" s="1"/>
  <c r="R577" i="15"/>
  <c r="U577" i="15" s="1"/>
  <c r="T578" i="15"/>
  <c r="L600" i="15"/>
  <c r="O600" i="15" s="1"/>
  <c r="R600" i="15"/>
  <c r="U600" i="15" s="1"/>
  <c r="T601" i="15"/>
  <c r="P644" i="15"/>
  <c r="R645" i="15"/>
  <c r="J676" i="15"/>
  <c r="K676" i="15" s="1"/>
  <c r="P692" i="15"/>
  <c r="R693" i="15"/>
  <c r="L715" i="15"/>
  <c r="O715" i="15" s="1"/>
  <c r="R715" i="15"/>
  <c r="U715" i="15" s="1"/>
  <c r="T716" i="15"/>
  <c r="L729" i="15"/>
  <c r="O729" i="15" s="1"/>
  <c r="T730" i="15"/>
  <c r="M760" i="15"/>
  <c r="P760" i="15" s="1"/>
  <c r="O761" i="15"/>
  <c r="U761" i="15"/>
  <c r="Q762" i="15"/>
  <c r="R334" i="15"/>
  <c r="U334" i="15" s="1"/>
  <c r="P339" i="15"/>
  <c r="J344" i="15"/>
  <c r="P365" i="15"/>
  <c r="J627" i="15"/>
  <c r="S645" i="15"/>
  <c r="S693" i="15"/>
  <c r="S691" i="15" s="1"/>
  <c r="Q731" i="15"/>
  <c r="T734" i="15"/>
  <c r="R762" i="15"/>
  <c r="U765" i="15"/>
  <c r="Q417" i="15"/>
  <c r="T417" i="15" s="1"/>
  <c r="L414" i="15"/>
  <c r="O414" i="15" s="1"/>
  <c r="R414" i="15"/>
  <c r="U414" i="15" s="1"/>
  <c r="Q694" i="15"/>
  <c r="T694" i="15" s="1"/>
  <c r="P342" i="15"/>
  <c r="K458" i="15"/>
  <c r="R619" i="15"/>
  <c r="Q693" i="15"/>
  <c r="I758" i="15"/>
  <c r="K758" i="15" s="1"/>
  <c r="K441" i="14"/>
  <c r="I424" i="14"/>
  <c r="T98" i="11"/>
  <c r="L51" i="14"/>
  <c r="O51" i="14" s="1"/>
  <c r="O53" i="14"/>
  <c r="M289" i="14"/>
  <c r="P289" i="14" s="1"/>
  <c r="O312" i="14"/>
  <c r="L310" i="14"/>
  <c r="O310" i="14" s="1"/>
  <c r="K772" i="14"/>
  <c r="I758" i="14"/>
  <c r="K758" i="14" s="1"/>
  <c r="P312" i="12"/>
  <c r="M310" i="12"/>
  <c r="P310" i="12" s="1"/>
  <c r="O163" i="14"/>
  <c r="L160" i="14"/>
  <c r="Q497" i="14"/>
  <c r="T497" i="14" s="1"/>
  <c r="T499" i="14"/>
  <c r="K772" i="13"/>
  <c r="I758" i="13"/>
  <c r="K758" i="13" s="1"/>
  <c r="K110" i="14"/>
  <c r="I94" i="14"/>
  <c r="K94" i="14" s="1"/>
  <c r="N121" i="14"/>
  <c r="N120" i="14"/>
  <c r="N118" i="14" s="1"/>
  <c r="L146" i="14"/>
  <c r="O146" i="14" s="1"/>
  <c r="O148" i="14"/>
  <c r="L142" i="14"/>
  <c r="S161" i="14"/>
  <c r="M161" i="14"/>
  <c r="P161" i="14" s="1"/>
  <c r="P163" i="14"/>
  <c r="P182" i="14"/>
  <c r="M180" i="14"/>
  <c r="P180" i="14" s="1"/>
  <c r="L306" i="14"/>
  <c r="O306" i="14" s="1"/>
  <c r="R306" i="14"/>
  <c r="U306" i="14" s="1"/>
  <c r="R307" i="14"/>
  <c r="T381" i="14"/>
  <c r="Q496" i="14"/>
  <c r="Q494" i="14" s="1"/>
  <c r="T494" i="14" s="1"/>
  <c r="R270" i="13"/>
  <c r="R269" i="13"/>
  <c r="R267" i="13" s="1"/>
  <c r="K347" i="14"/>
  <c r="J352" i="14"/>
  <c r="R379" i="14"/>
  <c r="U379" i="14" s="1"/>
  <c r="U381" i="14"/>
  <c r="R620" i="14"/>
  <c r="U620" i="14" s="1"/>
  <c r="R619" i="14"/>
  <c r="R617" i="14" s="1"/>
  <c r="R75" i="12"/>
  <c r="R73" i="12" s="1"/>
  <c r="R76" i="12"/>
  <c r="Q189" i="13"/>
  <c r="Q187" i="13" s="1"/>
  <c r="Q190" i="13"/>
  <c r="T190" i="13" s="1"/>
  <c r="M62" i="14"/>
  <c r="M60" i="14" s="1"/>
  <c r="M63" i="14"/>
  <c r="P63" i="14" s="1"/>
  <c r="R143" i="14"/>
  <c r="U143" i="14" s="1"/>
  <c r="U145" i="14"/>
  <c r="R176" i="14"/>
  <c r="R177" i="14"/>
  <c r="U177" i="14" s="1"/>
  <c r="U179" i="14"/>
  <c r="K210" i="14"/>
  <c r="I203" i="14"/>
  <c r="K203" i="14" s="1"/>
  <c r="S379" i="14"/>
  <c r="S378" i="14"/>
  <c r="S376" i="14" s="1"/>
  <c r="S646" i="14"/>
  <c r="S645" i="14"/>
  <c r="S643" i="14" s="1"/>
  <c r="S694" i="14"/>
  <c r="U694" i="14" s="1"/>
  <c r="S693" i="14"/>
  <c r="S691" i="14" s="1"/>
  <c r="K704" i="14"/>
  <c r="K710" i="14"/>
  <c r="L97" i="14"/>
  <c r="L95" i="14" s="1"/>
  <c r="O95" i="14" s="1"/>
  <c r="I173" i="14"/>
  <c r="K173" i="14" s="1"/>
  <c r="Q177" i="14"/>
  <c r="T177" i="14" s="1"/>
  <c r="Q189" i="14"/>
  <c r="Q187" i="14" s="1"/>
  <c r="M327" i="14"/>
  <c r="P327" i="14" s="1"/>
  <c r="Q378" i="14"/>
  <c r="Q376" i="14" s="1"/>
  <c r="Q379" i="14"/>
  <c r="S417" i="14"/>
  <c r="R693" i="14"/>
  <c r="R691" i="14" s="1"/>
  <c r="L235" i="12"/>
  <c r="M160" i="13"/>
  <c r="M158" i="13" s="1"/>
  <c r="T309" i="13"/>
  <c r="M142" i="14"/>
  <c r="M140" i="14" s="1"/>
  <c r="Q176" i="14"/>
  <c r="T176" i="14" s="1"/>
  <c r="M306" i="14"/>
  <c r="P306" i="14" s="1"/>
  <c r="O362" i="14"/>
  <c r="Q645" i="14"/>
  <c r="T645" i="14" s="1"/>
  <c r="K704" i="12"/>
  <c r="K710" i="12"/>
  <c r="I758" i="12"/>
  <c r="K758" i="12" s="1"/>
  <c r="O50" i="13"/>
  <c r="M146" i="13"/>
  <c r="P146" i="13" s="1"/>
  <c r="K372" i="13"/>
  <c r="S142" i="14"/>
  <c r="S140" i="14" s="1"/>
  <c r="I303" i="14"/>
  <c r="K303" i="14" s="1"/>
  <c r="Q646" i="14"/>
  <c r="T646" i="14" s="1"/>
  <c r="T696" i="14"/>
  <c r="K706" i="14"/>
  <c r="L223" i="14"/>
  <c r="O223" i="14" s="1"/>
  <c r="U696" i="14"/>
  <c r="P50" i="14"/>
  <c r="M48" i="14"/>
  <c r="P48" i="14" s="1"/>
  <c r="I117" i="14"/>
  <c r="K117" i="14" s="1"/>
  <c r="K128" i="14"/>
  <c r="I254" i="14"/>
  <c r="K254" i="14" s="1"/>
  <c r="K261" i="14"/>
  <c r="P362" i="14"/>
  <c r="M360" i="14"/>
  <c r="P360" i="14" s="1"/>
  <c r="U419" i="14"/>
  <c r="R417" i="14"/>
  <c r="U417" i="14" s="1"/>
  <c r="R416" i="14"/>
  <c r="U416" i="14" s="1"/>
  <c r="R645" i="11"/>
  <c r="R643" i="11" s="1"/>
  <c r="Q98" i="13"/>
  <c r="T98" i="13" s="1"/>
  <c r="P286" i="13"/>
  <c r="L327" i="13"/>
  <c r="O327" i="13" s="1"/>
  <c r="K706" i="13"/>
  <c r="P126" i="14"/>
  <c r="M124" i="14"/>
  <c r="P124" i="14" s="1"/>
  <c r="L176" i="14"/>
  <c r="O182" i="14"/>
  <c r="L180" i="14"/>
  <c r="O180" i="14" s="1"/>
  <c r="K221" i="14"/>
  <c r="I214" i="14"/>
  <c r="K214" i="14" s="1"/>
  <c r="R189" i="13"/>
  <c r="R187" i="13" s="1"/>
  <c r="Q306" i="14"/>
  <c r="Q304" i="14" s="1"/>
  <c r="Q307" i="14"/>
  <c r="R731" i="12"/>
  <c r="R729" i="12" s="1"/>
  <c r="S646" i="13"/>
  <c r="N75" i="14"/>
  <c r="N73" i="14" s="1"/>
  <c r="N76" i="14"/>
  <c r="P76" i="14" s="1"/>
  <c r="U123" i="14"/>
  <c r="S120" i="14"/>
  <c r="S118" i="14" s="1"/>
  <c r="J333" i="12"/>
  <c r="K333" i="12" s="1"/>
  <c r="I83" i="13"/>
  <c r="K83" i="13" s="1"/>
  <c r="O286" i="13"/>
  <c r="L307" i="13"/>
  <c r="O307" i="13" s="1"/>
  <c r="J703" i="13"/>
  <c r="M47" i="14"/>
  <c r="M45" i="14" s="1"/>
  <c r="S121" i="14"/>
  <c r="U121" i="14" s="1"/>
  <c r="M121" i="14"/>
  <c r="P121" i="14" s="1"/>
  <c r="P123" i="14"/>
  <c r="M120" i="14"/>
  <c r="Q142" i="14"/>
  <c r="T145" i="14"/>
  <c r="Q143" i="14"/>
  <c r="T143" i="14" s="1"/>
  <c r="S177" i="14"/>
  <c r="M176" i="14"/>
  <c r="P179" i="14"/>
  <c r="M177" i="14"/>
  <c r="M189" i="14"/>
  <c r="M187" i="14" s="1"/>
  <c r="U499" i="14"/>
  <c r="R496" i="14"/>
  <c r="U496" i="14" s="1"/>
  <c r="R497" i="14"/>
  <c r="U497" i="14" s="1"/>
  <c r="U648" i="14"/>
  <c r="R646" i="14"/>
  <c r="U646" i="14" s="1"/>
  <c r="L189" i="12"/>
  <c r="L187" i="12" s="1"/>
  <c r="I196" i="13"/>
  <c r="K196" i="13" s="1"/>
  <c r="I203" i="13"/>
  <c r="K203" i="13" s="1"/>
  <c r="L323" i="13"/>
  <c r="O323" i="13" s="1"/>
  <c r="O339" i="13"/>
  <c r="I616" i="13"/>
  <c r="K616" i="13" s="1"/>
  <c r="P53" i="14"/>
  <c r="Q98" i="14"/>
  <c r="O360" i="14"/>
  <c r="I493" i="14"/>
  <c r="K493" i="14" s="1"/>
  <c r="K781" i="13"/>
  <c r="S75" i="14"/>
  <c r="S73" i="14" s="1"/>
  <c r="I83" i="14"/>
  <c r="I71" i="14" s="1"/>
  <c r="K71" i="14" s="1"/>
  <c r="I222" i="14"/>
  <c r="K222" i="14" s="1"/>
  <c r="L244" i="14"/>
  <c r="O244" i="14" s="1"/>
  <c r="N269" i="14"/>
  <c r="N267" i="14" s="1"/>
  <c r="I366" i="14"/>
  <c r="K366" i="14" s="1"/>
  <c r="Q694" i="14"/>
  <c r="K778" i="14"/>
  <c r="K781" i="14"/>
  <c r="L235" i="14"/>
  <c r="L75" i="14"/>
  <c r="L73" i="14" s="1"/>
  <c r="Q24" i="14"/>
  <c r="Q22" i="14" s="1"/>
  <c r="L161" i="14"/>
  <c r="O161" i="14" s="1"/>
  <c r="L164" i="14"/>
  <c r="O164" i="14" s="1"/>
  <c r="N189" i="14"/>
  <c r="N187" i="14" s="1"/>
  <c r="L236" i="14"/>
  <c r="I266" i="14"/>
  <c r="K266" i="14" s="1"/>
  <c r="S269" i="14"/>
  <c r="U269" i="14" s="1"/>
  <c r="K293" i="14"/>
  <c r="R378" i="14"/>
  <c r="U378" i="14" s="1"/>
  <c r="I616" i="14"/>
  <c r="K616" i="14" s="1"/>
  <c r="S619" i="14"/>
  <c r="S617" i="14" s="1"/>
  <c r="U622" i="14"/>
  <c r="K784" i="14"/>
  <c r="P65" i="14"/>
  <c r="P78" i="14"/>
  <c r="R142" i="14"/>
  <c r="U142" i="14" s="1"/>
  <c r="O145" i="14"/>
  <c r="N160" i="14"/>
  <c r="N158" i="14" s="1"/>
  <c r="L237" i="14"/>
  <c r="J344" i="14"/>
  <c r="J702" i="14"/>
  <c r="Q732" i="14"/>
  <c r="K785" i="14"/>
  <c r="L45" i="14"/>
  <c r="S189" i="12"/>
  <c r="U189" i="12" s="1"/>
  <c r="L204" i="13"/>
  <c r="O204" i="13" s="1"/>
  <c r="L223" i="13"/>
  <c r="O223" i="13" s="1"/>
  <c r="K345" i="13"/>
  <c r="P365" i="13"/>
  <c r="M516" i="13"/>
  <c r="P516" i="13" s="1"/>
  <c r="Q25" i="14"/>
  <c r="T25" i="14" s="1"/>
  <c r="T27" i="14"/>
  <c r="R60" i="14"/>
  <c r="U60" i="14" s="1"/>
  <c r="U62" i="14"/>
  <c r="L63" i="14"/>
  <c r="O63" i="14" s="1"/>
  <c r="O65" i="14"/>
  <c r="R73" i="14"/>
  <c r="R95" i="14"/>
  <c r="U97" i="14"/>
  <c r="M98" i="14"/>
  <c r="P98" i="14" s="1"/>
  <c r="P100" i="14"/>
  <c r="M24" i="14"/>
  <c r="P141" i="14"/>
  <c r="K199" i="14"/>
  <c r="I239" i="14"/>
  <c r="K239" i="14" s="1"/>
  <c r="I243" i="14"/>
  <c r="M286" i="14"/>
  <c r="P288" i="14"/>
  <c r="M285" i="14"/>
  <c r="J281" i="14"/>
  <c r="K281" i="14" s="1"/>
  <c r="K294" i="14"/>
  <c r="O305" i="14"/>
  <c r="L337" i="14"/>
  <c r="O337" i="14" s="1"/>
  <c r="O339" i="14"/>
  <c r="L336" i="14"/>
  <c r="P378" i="14"/>
  <c r="M376" i="14"/>
  <c r="P376" i="14" s="1"/>
  <c r="N204" i="1"/>
  <c r="T97" i="14"/>
  <c r="O141" i="14"/>
  <c r="S190" i="14"/>
  <c r="T190" i="14" s="1"/>
  <c r="T192" i="14"/>
  <c r="S189" i="14"/>
  <c r="U189" i="14" s="1"/>
  <c r="P177" i="12"/>
  <c r="L190" i="12"/>
  <c r="N189" i="13"/>
  <c r="N187" i="13" s="1"/>
  <c r="O362" i="13"/>
  <c r="N66" i="14"/>
  <c r="N62" i="14"/>
  <c r="N60" i="14" s="1"/>
  <c r="Q76" i="14"/>
  <c r="T76" i="14" s="1"/>
  <c r="T78" i="14"/>
  <c r="K90" i="14"/>
  <c r="K250" i="14"/>
  <c r="L255" i="14"/>
  <c r="N286" i="14"/>
  <c r="O286" i="14" s="1"/>
  <c r="O288" i="14"/>
  <c r="P305" i="14"/>
  <c r="M337" i="14"/>
  <c r="P337" i="14" s="1"/>
  <c r="P339" i="14"/>
  <c r="O618" i="14"/>
  <c r="L617" i="14"/>
  <c r="O617" i="14" s="1"/>
  <c r="Q267" i="13"/>
  <c r="J675" i="12"/>
  <c r="M75" i="13"/>
  <c r="P75" i="13" s="1"/>
  <c r="I137" i="13"/>
  <c r="K137" i="13" s="1"/>
  <c r="R142" i="13"/>
  <c r="U142" i="13" s="1"/>
  <c r="L146" i="13"/>
  <c r="O146" i="13" s="1"/>
  <c r="K221" i="13"/>
  <c r="O342" i="13"/>
  <c r="R76" i="14"/>
  <c r="U76" i="14" s="1"/>
  <c r="U78" i="14"/>
  <c r="R24" i="14"/>
  <c r="T100" i="14"/>
  <c r="U268" i="14"/>
  <c r="R267" i="14"/>
  <c r="P284" i="14"/>
  <c r="T322" i="14"/>
  <c r="Q321" i="14"/>
  <c r="T321" i="14" s="1"/>
  <c r="R321" i="14"/>
  <c r="U321" i="14" s="1"/>
  <c r="U323" i="14"/>
  <c r="M363" i="14"/>
  <c r="P363" i="14" s="1"/>
  <c r="P365" i="14"/>
  <c r="M359" i="14"/>
  <c r="Q60" i="14"/>
  <c r="T60" i="14" s="1"/>
  <c r="T62" i="14"/>
  <c r="Q73" i="14"/>
  <c r="M101" i="14"/>
  <c r="P101" i="14" s="1"/>
  <c r="P103" i="14"/>
  <c r="M27" i="14"/>
  <c r="Q118" i="14"/>
  <c r="U188" i="14"/>
  <c r="R187" i="14"/>
  <c r="M602" i="1"/>
  <c r="P602" i="1" s="1"/>
  <c r="O365" i="12"/>
  <c r="I84" i="13"/>
  <c r="K84" i="13" s="1"/>
  <c r="R143" i="13"/>
  <c r="U143" i="13" s="1"/>
  <c r="M176" i="13"/>
  <c r="P342" i="13"/>
  <c r="Q45" i="14"/>
  <c r="T45" i="14" s="1"/>
  <c r="T47" i="14"/>
  <c r="N51" i="14"/>
  <c r="N27" i="14"/>
  <c r="N25" i="14" s="1"/>
  <c r="N47" i="14"/>
  <c r="N45" i="14" s="1"/>
  <c r="L62" i="14"/>
  <c r="L79" i="14"/>
  <c r="O79" i="14" s="1"/>
  <c r="O81" i="14"/>
  <c r="L27" i="14"/>
  <c r="M97" i="14"/>
  <c r="R98" i="14"/>
  <c r="U100" i="14"/>
  <c r="I93" i="14"/>
  <c r="K93" i="14" s="1"/>
  <c r="K109" i="14"/>
  <c r="U141" i="14"/>
  <c r="I137" i="14"/>
  <c r="K137" i="14" s="1"/>
  <c r="K155" i="14"/>
  <c r="T159" i="14"/>
  <c r="O268" i="14"/>
  <c r="L270" i="14"/>
  <c r="O270" i="14" s="1"/>
  <c r="O272" i="14"/>
  <c r="L269" i="14"/>
  <c r="O269" i="14" s="1"/>
  <c r="S307" i="14"/>
  <c r="U309" i="14"/>
  <c r="T309" i="14"/>
  <c r="N359" i="14"/>
  <c r="N357" i="14" s="1"/>
  <c r="N363" i="14"/>
  <c r="L98" i="14"/>
  <c r="O98" i="14" s="1"/>
  <c r="O100" i="14"/>
  <c r="K708" i="14"/>
  <c r="I690" i="14"/>
  <c r="K690" i="14" s="1"/>
  <c r="P192" i="13"/>
  <c r="L255" i="13"/>
  <c r="O255" i="13" s="1"/>
  <c r="I457" i="13"/>
  <c r="K457" i="13" s="1"/>
  <c r="R45" i="14"/>
  <c r="U45" i="14" s="1"/>
  <c r="U47" i="14"/>
  <c r="L48" i="14"/>
  <c r="O48" i="14" s="1"/>
  <c r="O50" i="14"/>
  <c r="L24" i="14"/>
  <c r="L76" i="14"/>
  <c r="O78" i="14"/>
  <c r="T96" i="14"/>
  <c r="Q95" i="14"/>
  <c r="S98" i="14"/>
  <c r="S24" i="14"/>
  <c r="L101" i="14"/>
  <c r="O101" i="14" s="1"/>
  <c r="O103" i="14"/>
  <c r="Q121" i="14"/>
  <c r="T123" i="14"/>
  <c r="N143" i="14"/>
  <c r="P143" i="14" s="1"/>
  <c r="N24" i="14"/>
  <c r="R158" i="14"/>
  <c r="U158" i="14" s="1"/>
  <c r="U159" i="14"/>
  <c r="Q160" i="14"/>
  <c r="T160" i="14" s="1"/>
  <c r="T163" i="14"/>
  <c r="T188" i="14"/>
  <c r="R190" i="14"/>
  <c r="U192" i="14"/>
  <c r="P145" i="14"/>
  <c r="P148" i="14"/>
  <c r="O188" i="14"/>
  <c r="L190" i="14"/>
  <c r="O190" i="14" s="1"/>
  <c r="O192" i="14"/>
  <c r="M270" i="14"/>
  <c r="P270" i="14" s="1"/>
  <c r="P272" i="14"/>
  <c r="L273" i="14"/>
  <c r="O273" i="14" s="1"/>
  <c r="O275" i="14"/>
  <c r="N306" i="14"/>
  <c r="N304" i="14" s="1"/>
  <c r="M307" i="14"/>
  <c r="P307" i="14" s="1"/>
  <c r="P309" i="14"/>
  <c r="N327" i="14"/>
  <c r="N323" i="14"/>
  <c r="N321" i="14" s="1"/>
  <c r="T335" i="14"/>
  <c r="Q334" i="14"/>
  <c r="T334" i="14" s="1"/>
  <c r="T377" i="14"/>
  <c r="O496" i="14"/>
  <c r="L494" i="14"/>
  <c r="O494" i="14" s="1"/>
  <c r="M190" i="14"/>
  <c r="P190" i="14" s="1"/>
  <c r="P192" i="14"/>
  <c r="L193" i="14"/>
  <c r="O193" i="14" s="1"/>
  <c r="O195" i="14"/>
  <c r="M273" i="14"/>
  <c r="P273" i="14" s="1"/>
  <c r="P275" i="14"/>
  <c r="U284" i="14"/>
  <c r="R283" i="14"/>
  <c r="U283" i="14" s="1"/>
  <c r="L324" i="14"/>
  <c r="O324" i="14" s="1"/>
  <c r="O326" i="14"/>
  <c r="U335" i="14"/>
  <c r="R334" i="14"/>
  <c r="U334" i="14" s="1"/>
  <c r="L376" i="14"/>
  <c r="O376" i="14" s="1"/>
  <c r="U415" i="14"/>
  <c r="J504" i="14"/>
  <c r="J493" i="14" s="1"/>
  <c r="K505" i="14"/>
  <c r="R643" i="14"/>
  <c r="U643" i="14" s="1"/>
  <c r="U645" i="14"/>
  <c r="M193" i="14"/>
  <c r="P193" i="14" s="1"/>
  <c r="P195" i="14"/>
  <c r="O291" i="14"/>
  <c r="L285" i="14"/>
  <c r="U305" i="14"/>
  <c r="M310" i="14"/>
  <c r="P310" i="14" s="1"/>
  <c r="P312" i="14"/>
  <c r="L323" i="14"/>
  <c r="J333" i="14"/>
  <c r="K333" i="14" s="1"/>
  <c r="O335" i="14"/>
  <c r="O415" i="14"/>
  <c r="L414" i="14"/>
  <c r="O414" i="14" s="1"/>
  <c r="L520" i="14"/>
  <c r="O520" i="14" s="1"/>
  <c r="O522" i="14"/>
  <c r="L516" i="14"/>
  <c r="O516" i="14" s="1"/>
  <c r="T268" i="14"/>
  <c r="Q267" i="14"/>
  <c r="R270" i="14"/>
  <c r="U270" i="14" s="1"/>
  <c r="U272" i="14"/>
  <c r="O284" i="14"/>
  <c r="S304" i="14"/>
  <c r="L363" i="14"/>
  <c r="O363" i="14" s="1"/>
  <c r="O365" i="14"/>
  <c r="L359" i="14"/>
  <c r="P515" i="14"/>
  <c r="M556" i="14"/>
  <c r="P556" i="14" s="1"/>
  <c r="P558" i="14"/>
  <c r="Q729" i="14"/>
  <c r="T729" i="14" s="1"/>
  <c r="T731" i="14"/>
  <c r="R760" i="14"/>
  <c r="U760" i="14" s="1"/>
  <c r="U762" i="14"/>
  <c r="T557" i="14"/>
  <c r="Q556" i="14"/>
  <c r="T556" i="14" s="1"/>
  <c r="L643" i="14"/>
  <c r="O643" i="14" s="1"/>
  <c r="O645" i="14"/>
  <c r="L691" i="14"/>
  <c r="O691" i="14" s="1"/>
  <c r="O693" i="14"/>
  <c r="U734" i="14"/>
  <c r="L760" i="14"/>
  <c r="O760" i="14" s="1"/>
  <c r="O762" i="14"/>
  <c r="M414" i="14"/>
  <c r="P414" i="14" s="1"/>
  <c r="P416" i="14"/>
  <c r="P522" i="14"/>
  <c r="M516" i="14"/>
  <c r="P516" i="14" s="1"/>
  <c r="U557" i="14"/>
  <c r="R556" i="14"/>
  <c r="U556" i="14" s="1"/>
  <c r="Q577" i="14"/>
  <c r="T577" i="14" s="1"/>
  <c r="T579" i="14"/>
  <c r="T622" i="14"/>
  <c r="Q619" i="14"/>
  <c r="Q620" i="14"/>
  <c r="T620" i="14" s="1"/>
  <c r="K633" i="14"/>
  <c r="K632" i="14"/>
  <c r="K631" i="14"/>
  <c r="K627" i="14"/>
  <c r="M643" i="14"/>
  <c r="P643" i="14" s="1"/>
  <c r="P645" i="14"/>
  <c r="M691" i="14"/>
  <c r="P691" i="14" s="1"/>
  <c r="P693" i="14"/>
  <c r="Q760" i="14"/>
  <c r="T760" i="14" s="1"/>
  <c r="O557" i="14"/>
  <c r="L556" i="14"/>
  <c r="O556" i="14" s="1"/>
  <c r="T618" i="14"/>
  <c r="T644" i="14"/>
  <c r="T692" i="14"/>
  <c r="Q691" i="14"/>
  <c r="Q393" i="14"/>
  <c r="T393" i="14" s="1"/>
  <c r="T415" i="14"/>
  <c r="T419" i="14"/>
  <c r="Q416" i="14"/>
  <c r="T416" i="14" s="1"/>
  <c r="Q417" i="14"/>
  <c r="T417" i="14" s="1"/>
  <c r="R514" i="14"/>
  <c r="U514" i="14" s="1"/>
  <c r="Q600" i="14"/>
  <c r="T600" i="14" s="1"/>
  <c r="T602" i="14"/>
  <c r="U618" i="14"/>
  <c r="Q715" i="14"/>
  <c r="T715" i="14" s="1"/>
  <c r="T717" i="14"/>
  <c r="K774" i="14"/>
  <c r="R731" i="14"/>
  <c r="I702" i="14"/>
  <c r="U98" i="13"/>
  <c r="P163" i="13"/>
  <c r="T192" i="13"/>
  <c r="K230" i="13"/>
  <c r="P270" i="13"/>
  <c r="M289" i="13"/>
  <c r="P289" i="13" s="1"/>
  <c r="Q306" i="13"/>
  <c r="Q304" i="13" s="1"/>
  <c r="M66" i="12"/>
  <c r="P66" i="12" s="1"/>
  <c r="K85" i="13"/>
  <c r="M101" i="13"/>
  <c r="P101" i="13" s="1"/>
  <c r="N120" i="13"/>
  <c r="N118" i="13" s="1"/>
  <c r="N160" i="13"/>
  <c r="I281" i="13"/>
  <c r="K281" i="13" s="1"/>
  <c r="M285" i="13"/>
  <c r="M283" i="13" s="1"/>
  <c r="K369" i="13"/>
  <c r="I493" i="13"/>
  <c r="K493" i="13" s="1"/>
  <c r="U696" i="13"/>
  <c r="I375" i="12"/>
  <c r="S379" i="12"/>
  <c r="N47" i="13"/>
  <c r="N45" i="13" s="1"/>
  <c r="Q160" i="13"/>
  <c r="T160" i="13" s="1"/>
  <c r="Q307" i="13"/>
  <c r="T307" i="13" s="1"/>
  <c r="I366" i="13"/>
  <c r="K366" i="13" s="1"/>
  <c r="U648" i="13"/>
  <c r="Q176" i="12"/>
  <c r="T176" i="12" s="1"/>
  <c r="O179" i="12"/>
  <c r="T179" i="12"/>
  <c r="I424" i="12"/>
  <c r="I413" i="12" s="1"/>
  <c r="K413" i="12" s="1"/>
  <c r="O53" i="13"/>
  <c r="O100" i="13"/>
  <c r="L142" i="13"/>
  <c r="O142" i="13" s="1"/>
  <c r="O163" i="13"/>
  <c r="L215" i="13"/>
  <c r="O215" i="13" s="1"/>
  <c r="L237" i="13"/>
  <c r="L360" i="13"/>
  <c r="O360" i="13" s="1"/>
  <c r="R497" i="13"/>
  <c r="U497" i="13" s="1"/>
  <c r="O65" i="12"/>
  <c r="S416" i="12"/>
  <c r="S414" i="12" s="1"/>
  <c r="M520" i="12"/>
  <c r="P520" i="12" s="1"/>
  <c r="R97" i="13"/>
  <c r="N142" i="13"/>
  <c r="N140" i="13" s="1"/>
  <c r="U190" i="13"/>
  <c r="I239" i="13"/>
  <c r="K239" i="13" s="1"/>
  <c r="J333" i="13"/>
  <c r="L363" i="13"/>
  <c r="O363" i="13" s="1"/>
  <c r="R496" i="13"/>
  <c r="U496" i="13" s="1"/>
  <c r="M517" i="13"/>
  <c r="P517" i="13" s="1"/>
  <c r="R645" i="13"/>
  <c r="U645" i="13" s="1"/>
  <c r="M98" i="10"/>
  <c r="M323" i="13"/>
  <c r="P323" i="13" s="1"/>
  <c r="P329" i="13"/>
  <c r="M327" i="13"/>
  <c r="P327" i="13" s="1"/>
  <c r="J676" i="12"/>
  <c r="O166" i="13"/>
  <c r="L164" i="13"/>
  <c r="O164" i="13" s="1"/>
  <c r="K168" i="13"/>
  <c r="I157" i="13"/>
  <c r="K157" i="13" s="1"/>
  <c r="I169" i="13"/>
  <c r="K169" i="13" s="1"/>
  <c r="N516" i="13"/>
  <c r="N514" i="13" s="1"/>
  <c r="N520" i="13"/>
  <c r="K155" i="11"/>
  <c r="M160" i="11"/>
  <c r="M158" i="11" s="1"/>
  <c r="K155" i="12"/>
  <c r="M359" i="12"/>
  <c r="M357" i="12" s="1"/>
  <c r="U648" i="12"/>
  <c r="P78" i="13"/>
  <c r="M76" i="13"/>
  <c r="P76" i="13" s="1"/>
  <c r="R120" i="13"/>
  <c r="R118" i="13" s="1"/>
  <c r="U123" i="13"/>
  <c r="Q142" i="13"/>
  <c r="Q140" i="13" s="1"/>
  <c r="T140" i="13" s="1"/>
  <c r="Q143" i="13"/>
  <c r="T143" i="13" s="1"/>
  <c r="T145" i="13"/>
  <c r="M273" i="13"/>
  <c r="P273" i="13" s="1"/>
  <c r="M269" i="13"/>
  <c r="M267" i="13" s="1"/>
  <c r="P275" i="13"/>
  <c r="L310" i="13"/>
  <c r="O310" i="13" s="1"/>
  <c r="R379" i="13"/>
  <c r="U379" i="13" s="1"/>
  <c r="R378" i="13"/>
  <c r="U378" i="13" s="1"/>
  <c r="U381" i="13"/>
  <c r="S417" i="13"/>
  <c r="S416" i="13"/>
  <c r="S414" i="13" s="1"/>
  <c r="Q620" i="13"/>
  <c r="Q619" i="13"/>
  <c r="Q617" i="13" s="1"/>
  <c r="S763" i="13"/>
  <c r="U763" i="13" s="1"/>
  <c r="S762" i="13"/>
  <c r="S760" i="13" s="1"/>
  <c r="O192" i="13"/>
  <c r="L189" i="13"/>
  <c r="L187" i="13" s="1"/>
  <c r="L190" i="13"/>
  <c r="O190" i="13" s="1"/>
  <c r="I303" i="13"/>
  <c r="K303" i="13" s="1"/>
  <c r="K315" i="13"/>
  <c r="I93" i="12"/>
  <c r="K93" i="12" s="1"/>
  <c r="L234" i="12"/>
  <c r="R269" i="12"/>
  <c r="R267" i="12" s="1"/>
  <c r="I281" i="12"/>
  <c r="K281" i="12" s="1"/>
  <c r="U307" i="13"/>
  <c r="P309" i="13"/>
  <c r="M306" i="13"/>
  <c r="P306" i="13" s="1"/>
  <c r="M307" i="13"/>
  <c r="P307" i="13" s="1"/>
  <c r="R378" i="7"/>
  <c r="U378" i="7" s="1"/>
  <c r="O126" i="13"/>
  <c r="L120" i="13"/>
  <c r="O120" i="13" s="1"/>
  <c r="L124" i="13"/>
  <c r="O124" i="13" s="1"/>
  <c r="J352" i="12"/>
  <c r="O65" i="13"/>
  <c r="K86" i="13"/>
  <c r="P100" i="13"/>
  <c r="M97" i="13"/>
  <c r="P97" i="13" s="1"/>
  <c r="T100" i="13"/>
  <c r="M143" i="13"/>
  <c r="P143" i="13" s="1"/>
  <c r="I320" i="13"/>
  <c r="K320" i="13" s="1"/>
  <c r="K331" i="13"/>
  <c r="J676" i="13"/>
  <c r="I243" i="12"/>
  <c r="K243" i="12" s="1"/>
  <c r="O288" i="12"/>
  <c r="R496" i="12"/>
  <c r="U496" i="12" s="1"/>
  <c r="J703" i="12"/>
  <c r="K779" i="12"/>
  <c r="K785" i="12"/>
  <c r="R24" i="13"/>
  <c r="R22" i="13" s="1"/>
  <c r="O68" i="13"/>
  <c r="L66" i="13"/>
  <c r="O66" i="13" s="1"/>
  <c r="U78" i="13"/>
  <c r="R75" i="13"/>
  <c r="P81" i="13"/>
  <c r="M79" i="13"/>
  <c r="P79" i="13" s="1"/>
  <c r="U100" i="13"/>
  <c r="S189" i="13"/>
  <c r="L244" i="13"/>
  <c r="O244" i="13" s="1"/>
  <c r="Q270" i="13"/>
  <c r="L306" i="13"/>
  <c r="O306" i="13" s="1"/>
  <c r="N323" i="13"/>
  <c r="N321" i="13" s="1"/>
  <c r="L336" i="13"/>
  <c r="L337" i="13"/>
  <c r="O337" i="13" s="1"/>
  <c r="M359" i="13"/>
  <c r="M357" i="13" s="1"/>
  <c r="T419" i="13"/>
  <c r="M520" i="13"/>
  <c r="P520" i="13" s="1"/>
  <c r="R693" i="13"/>
  <c r="S694" i="13"/>
  <c r="U694" i="13" s="1"/>
  <c r="Q732" i="13"/>
  <c r="T765" i="13"/>
  <c r="I138" i="13"/>
  <c r="K138" i="13" s="1"/>
  <c r="L143" i="13"/>
  <c r="O143" i="13" s="1"/>
  <c r="M164" i="13"/>
  <c r="P164" i="13" s="1"/>
  <c r="I173" i="13"/>
  <c r="K173" i="13" s="1"/>
  <c r="Q176" i="13"/>
  <c r="T176" i="13" s="1"/>
  <c r="K222" i="13"/>
  <c r="I333" i="13"/>
  <c r="N336" i="13"/>
  <c r="N334" i="13" s="1"/>
  <c r="Q416" i="13"/>
  <c r="T622" i="13"/>
  <c r="S693" i="13"/>
  <c r="S691" i="13" s="1"/>
  <c r="T696" i="13"/>
  <c r="J702" i="13"/>
  <c r="R732" i="13"/>
  <c r="Q762" i="13"/>
  <c r="N285" i="13"/>
  <c r="P288" i="13"/>
  <c r="K370" i="13"/>
  <c r="L516" i="13"/>
  <c r="O516" i="13" s="1"/>
  <c r="T734" i="13"/>
  <c r="K779" i="13"/>
  <c r="K785" i="13"/>
  <c r="P161" i="13"/>
  <c r="Q177" i="13"/>
  <c r="T177" i="13" s="1"/>
  <c r="L27" i="13"/>
  <c r="L25" i="13" s="1"/>
  <c r="O25" i="13" s="1"/>
  <c r="O288" i="13"/>
  <c r="R306" i="13"/>
  <c r="R304" i="13" s="1"/>
  <c r="J344" i="13"/>
  <c r="P360" i="13"/>
  <c r="S643" i="13"/>
  <c r="Q729" i="13"/>
  <c r="U765" i="13"/>
  <c r="L66" i="11"/>
  <c r="O66" i="11" s="1"/>
  <c r="S120" i="11"/>
  <c r="S118" i="11" s="1"/>
  <c r="P50" i="12"/>
  <c r="U78" i="12"/>
  <c r="Q121" i="12"/>
  <c r="N142" i="12"/>
  <c r="N140" i="12" s="1"/>
  <c r="Q161" i="12"/>
  <c r="T161" i="12" s="1"/>
  <c r="M160" i="12"/>
  <c r="P160" i="12" s="1"/>
  <c r="L324" i="13"/>
  <c r="O324" i="13" s="1"/>
  <c r="O326" i="13"/>
  <c r="L121" i="11"/>
  <c r="O121" i="11" s="1"/>
  <c r="P65" i="13"/>
  <c r="M62" i="13"/>
  <c r="M63" i="13"/>
  <c r="P63" i="13" s="1"/>
  <c r="Q76" i="13"/>
  <c r="T76" i="13" s="1"/>
  <c r="Q75" i="13"/>
  <c r="T75" i="13" s="1"/>
  <c r="T78" i="13"/>
  <c r="Q24" i="13"/>
  <c r="T123" i="13"/>
  <c r="Q120" i="13"/>
  <c r="L180" i="13"/>
  <c r="O180" i="13" s="1"/>
  <c r="O182" i="13"/>
  <c r="P50" i="13"/>
  <c r="M48" i="13"/>
  <c r="P48" i="13" s="1"/>
  <c r="M24" i="13"/>
  <c r="M22" i="13" s="1"/>
  <c r="M47" i="13"/>
  <c r="M193" i="13"/>
  <c r="P193" i="13" s="1"/>
  <c r="P195" i="13"/>
  <c r="O275" i="13"/>
  <c r="L273" i="13"/>
  <c r="O273" i="13" s="1"/>
  <c r="K277" i="13"/>
  <c r="I266" i="13"/>
  <c r="K266" i="13" s="1"/>
  <c r="R762" i="10"/>
  <c r="U762" i="10" s="1"/>
  <c r="Q270" i="12"/>
  <c r="T270" i="12" s="1"/>
  <c r="Q269" i="12"/>
  <c r="Q267" i="12" s="1"/>
  <c r="R306" i="12"/>
  <c r="R304" i="12" s="1"/>
  <c r="R307" i="12"/>
  <c r="S20" i="13"/>
  <c r="P23" i="13"/>
  <c r="T175" i="13"/>
  <c r="S270" i="13"/>
  <c r="S269" i="13"/>
  <c r="T269" i="13" s="1"/>
  <c r="T272" i="13"/>
  <c r="S24" i="13"/>
  <c r="S21" i="13" s="1"/>
  <c r="Q334" i="13"/>
  <c r="T334" i="13" s="1"/>
  <c r="T335" i="13"/>
  <c r="S160" i="9"/>
  <c r="S158" i="9" s="1"/>
  <c r="K347" i="10"/>
  <c r="J675" i="10"/>
  <c r="K778" i="11"/>
  <c r="K781" i="11"/>
  <c r="K784" i="11"/>
  <c r="L51" i="12"/>
  <c r="O51" i="12" s="1"/>
  <c r="R97" i="12"/>
  <c r="U97" i="12" s="1"/>
  <c r="S142" i="12"/>
  <c r="S140" i="12" s="1"/>
  <c r="N176" i="12"/>
  <c r="N174" i="12" s="1"/>
  <c r="T190" i="12"/>
  <c r="O272" i="13"/>
  <c r="L269" i="13"/>
  <c r="O269" i="13" s="1"/>
  <c r="L24" i="13"/>
  <c r="L270" i="13"/>
  <c r="O270" i="13" s="1"/>
  <c r="U309" i="13"/>
  <c r="S306" i="13"/>
  <c r="M97" i="11"/>
  <c r="M95" i="11" s="1"/>
  <c r="S97" i="12"/>
  <c r="S95" i="12" s="1"/>
  <c r="R120" i="12"/>
  <c r="U120" i="12" s="1"/>
  <c r="U163" i="12"/>
  <c r="M189" i="12"/>
  <c r="M187" i="12" s="1"/>
  <c r="M20" i="13"/>
  <c r="U47" i="13"/>
  <c r="R45" i="13"/>
  <c r="U45" i="13" s="1"/>
  <c r="L237" i="12"/>
  <c r="M306" i="12"/>
  <c r="M304" i="12" s="1"/>
  <c r="P304" i="12" s="1"/>
  <c r="N20" i="13"/>
  <c r="M27" i="13"/>
  <c r="L47" i="13"/>
  <c r="N24" i="13"/>
  <c r="P53" i="13"/>
  <c r="P68" i="13"/>
  <c r="S75" i="13"/>
  <c r="S73" i="13" s="1"/>
  <c r="I94" i="13"/>
  <c r="K94" i="13" s="1"/>
  <c r="Q95" i="13"/>
  <c r="L97" i="13"/>
  <c r="O97" i="13" s="1"/>
  <c r="O103" i="13"/>
  <c r="M120" i="13"/>
  <c r="P120" i="13" s="1"/>
  <c r="S120" i="13"/>
  <c r="S118" i="13" s="1"/>
  <c r="S121" i="13"/>
  <c r="U121" i="13" s="1"/>
  <c r="P126" i="13"/>
  <c r="M142" i="13"/>
  <c r="S143" i="13"/>
  <c r="S142" i="13"/>
  <c r="S140" i="13" s="1"/>
  <c r="K243" i="13"/>
  <c r="O268" i="13"/>
  <c r="O305" i="13"/>
  <c r="S496" i="13"/>
  <c r="S494" i="13" s="1"/>
  <c r="S497" i="13"/>
  <c r="M535" i="13"/>
  <c r="P535" i="13" s="1"/>
  <c r="P536" i="13"/>
  <c r="O78" i="13"/>
  <c r="L76" i="13"/>
  <c r="O76" i="13" s="1"/>
  <c r="U188" i="13"/>
  <c r="T284" i="13"/>
  <c r="Q283" i="13"/>
  <c r="T283" i="13" s="1"/>
  <c r="O291" i="13"/>
  <c r="L285" i="13"/>
  <c r="U270" i="12"/>
  <c r="P288" i="12"/>
  <c r="Q25" i="13"/>
  <c r="T25" i="13" s="1"/>
  <c r="L48" i="13"/>
  <c r="O48" i="13" s="1"/>
  <c r="L62" i="13"/>
  <c r="L63" i="13"/>
  <c r="O63" i="13" s="1"/>
  <c r="N97" i="13"/>
  <c r="N95" i="13" s="1"/>
  <c r="K154" i="13"/>
  <c r="S176" i="13"/>
  <c r="S174" i="13" s="1"/>
  <c r="L176" i="13"/>
  <c r="L177" i="13"/>
  <c r="O177" i="13" s="1"/>
  <c r="U179" i="13"/>
  <c r="R176" i="13"/>
  <c r="P272" i="13"/>
  <c r="U305" i="13"/>
  <c r="K345" i="12"/>
  <c r="N75" i="13"/>
  <c r="N73" i="13" s="1"/>
  <c r="I93" i="13"/>
  <c r="K93" i="13" s="1"/>
  <c r="K109" i="13"/>
  <c r="K128" i="13"/>
  <c r="I117" i="13"/>
  <c r="K117" i="13" s="1"/>
  <c r="S160" i="13"/>
  <c r="S158" i="13" s="1"/>
  <c r="L160" i="13"/>
  <c r="L161" i="13"/>
  <c r="O161" i="13" s="1"/>
  <c r="U163" i="13"/>
  <c r="R160" i="13"/>
  <c r="N269" i="13"/>
  <c r="N267" i="13" s="1"/>
  <c r="Q357" i="13"/>
  <c r="T357" i="13" s="1"/>
  <c r="T358" i="13"/>
  <c r="T516" i="13"/>
  <c r="Q514" i="13"/>
  <c r="T514" i="13" s="1"/>
  <c r="M327" i="12"/>
  <c r="P327" i="12" s="1"/>
  <c r="K347" i="12"/>
  <c r="S496" i="12"/>
  <c r="S494" i="12" s="1"/>
  <c r="T46" i="13"/>
  <c r="N51" i="13"/>
  <c r="N27" i="13"/>
  <c r="N25" i="13" s="1"/>
  <c r="M190" i="13"/>
  <c r="P190" i="13" s="1"/>
  <c r="M189" i="13"/>
  <c r="O195" i="13"/>
  <c r="L193" i="13"/>
  <c r="O193" i="13" s="1"/>
  <c r="U272" i="13"/>
  <c r="P284" i="13"/>
  <c r="P337" i="13"/>
  <c r="T163" i="13"/>
  <c r="S321" i="13"/>
  <c r="S334" i="13"/>
  <c r="P339" i="13"/>
  <c r="U419" i="13"/>
  <c r="R417" i="13"/>
  <c r="U417" i="13" s="1"/>
  <c r="P515" i="13"/>
  <c r="Q60" i="13"/>
  <c r="T60" i="13" s="1"/>
  <c r="I170" i="13"/>
  <c r="K170" i="13" s="1"/>
  <c r="U192" i="13"/>
  <c r="N306" i="13"/>
  <c r="N304" i="13" s="1"/>
  <c r="P322" i="13"/>
  <c r="M324" i="13"/>
  <c r="P324" i="13" s="1"/>
  <c r="P326" i="13"/>
  <c r="M336" i="13"/>
  <c r="P362" i="13"/>
  <c r="R416" i="13"/>
  <c r="I424" i="13"/>
  <c r="K441" i="13"/>
  <c r="U644" i="13"/>
  <c r="P377" i="13"/>
  <c r="M376" i="13"/>
  <c r="P376" i="13" s="1"/>
  <c r="O416" i="13"/>
  <c r="L414" i="13"/>
  <c r="O414" i="13" s="1"/>
  <c r="U495" i="13"/>
  <c r="N359" i="13"/>
  <c r="L376" i="13"/>
  <c r="O376" i="13" s="1"/>
  <c r="S378" i="13"/>
  <c r="S376" i="13" s="1"/>
  <c r="T381" i="13"/>
  <c r="S393" i="13"/>
  <c r="P415" i="13"/>
  <c r="T499" i="13"/>
  <c r="U515" i="13"/>
  <c r="O522" i="13"/>
  <c r="S556" i="13"/>
  <c r="R577" i="13"/>
  <c r="U577" i="13" s="1"/>
  <c r="L600" i="13"/>
  <c r="O600" i="13" s="1"/>
  <c r="S617" i="13"/>
  <c r="O644" i="13"/>
  <c r="L643" i="13"/>
  <c r="O643" i="13" s="1"/>
  <c r="K710" i="13"/>
  <c r="K778" i="13"/>
  <c r="K784" i="13"/>
  <c r="M393" i="13"/>
  <c r="P393" i="13" s="1"/>
  <c r="P557" i="13"/>
  <c r="M556" i="13"/>
  <c r="P556" i="13" s="1"/>
  <c r="P618" i="13"/>
  <c r="M617" i="13"/>
  <c r="P617" i="13" s="1"/>
  <c r="N494" i="13"/>
  <c r="Q496" i="13"/>
  <c r="T496" i="13" s="1"/>
  <c r="J504" i="13"/>
  <c r="J493" i="13" s="1"/>
  <c r="K708" i="13"/>
  <c r="I690" i="13"/>
  <c r="K690" i="13" s="1"/>
  <c r="I759" i="13"/>
  <c r="K759" i="13" s="1"/>
  <c r="K774" i="13"/>
  <c r="T648" i="13"/>
  <c r="Q645" i="13"/>
  <c r="Q646" i="13"/>
  <c r="T646" i="13" s="1"/>
  <c r="L359" i="13"/>
  <c r="S535" i="13"/>
  <c r="U622" i="13"/>
  <c r="R619" i="13"/>
  <c r="R620" i="13"/>
  <c r="K633" i="13"/>
  <c r="K632" i="13"/>
  <c r="K630" i="13"/>
  <c r="K631" i="13"/>
  <c r="S731" i="13"/>
  <c r="S729" i="13" s="1"/>
  <c r="U734" i="13"/>
  <c r="S732" i="13"/>
  <c r="K780" i="13"/>
  <c r="Q378" i="13"/>
  <c r="R762" i="13"/>
  <c r="Q694" i="13"/>
  <c r="I702" i="13"/>
  <c r="S620" i="13"/>
  <c r="L691" i="13"/>
  <c r="O691" i="13" s="1"/>
  <c r="Q693" i="13"/>
  <c r="N766" i="1"/>
  <c r="Q619" i="11"/>
  <c r="Q617" i="11" s="1"/>
  <c r="M101" i="12"/>
  <c r="P101" i="12" s="1"/>
  <c r="K128" i="12"/>
  <c r="L146" i="12"/>
  <c r="O146" i="12" s="1"/>
  <c r="K199" i="12"/>
  <c r="S307" i="12"/>
  <c r="T307" i="12" s="1"/>
  <c r="M517" i="12"/>
  <c r="P517" i="12" s="1"/>
  <c r="L234" i="11"/>
  <c r="M51" i="12"/>
  <c r="P51" i="12" s="1"/>
  <c r="L66" i="12"/>
  <c r="O66" i="12" s="1"/>
  <c r="M27" i="12"/>
  <c r="P27" i="12" s="1"/>
  <c r="L97" i="12"/>
  <c r="O97" i="12" s="1"/>
  <c r="O103" i="12"/>
  <c r="S121" i="12"/>
  <c r="U121" i="12" s="1"/>
  <c r="T123" i="12"/>
  <c r="S161" i="12"/>
  <c r="L236" i="12"/>
  <c r="L255" i="12"/>
  <c r="O255" i="12" s="1"/>
  <c r="K277" i="12"/>
  <c r="M516" i="12"/>
  <c r="P516" i="12" s="1"/>
  <c r="O519" i="12"/>
  <c r="R762" i="5"/>
  <c r="R760" i="5" s="1"/>
  <c r="U760" i="5" s="1"/>
  <c r="P148" i="11"/>
  <c r="R269" i="11"/>
  <c r="R267" i="11" s="1"/>
  <c r="J676" i="11"/>
  <c r="K676" i="11" s="1"/>
  <c r="M24" i="12"/>
  <c r="M22" i="12" s="1"/>
  <c r="M97" i="12"/>
  <c r="P100" i="12"/>
  <c r="L120" i="12"/>
  <c r="O120" i="12" s="1"/>
  <c r="M124" i="12"/>
  <c r="P124" i="12" s="1"/>
  <c r="O126" i="12"/>
  <c r="P145" i="12"/>
  <c r="P148" i="12"/>
  <c r="K153" i="12"/>
  <c r="N160" i="12"/>
  <c r="N158" i="12" s="1"/>
  <c r="R177" i="12"/>
  <c r="U177" i="12" s="1"/>
  <c r="L193" i="12"/>
  <c r="O193" i="12" s="1"/>
  <c r="O275" i="12"/>
  <c r="M307" i="12"/>
  <c r="P307" i="12" s="1"/>
  <c r="J504" i="12"/>
  <c r="J493" i="12" s="1"/>
  <c r="S763" i="12"/>
  <c r="P65" i="12"/>
  <c r="L75" i="12"/>
  <c r="L73" i="12" s="1"/>
  <c r="M120" i="12"/>
  <c r="P123" i="12"/>
  <c r="M193" i="12"/>
  <c r="P193" i="12" s="1"/>
  <c r="P275" i="12"/>
  <c r="L286" i="12"/>
  <c r="O286" i="12" s="1"/>
  <c r="M336" i="12"/>
  <c r="M334" i="12" s="1"/>
  <c r="R379" i="12"/>
  <c r="U379" i="12" s="1"/>
  <c r="R497" i="12"/>
  <c r="U497" i="12" s="1"/>
  <c r="T620" i="12"/>
  <c r="R645" i="12"/>
  <c r="U645" i="12" s="1"/>
  <c r="U734" i="10"/>
  <c r="M62" i="11"/>
  <c r="M60" i="11" s="1"/>
  <c r="I214" i="11"/>
  <c r="K214" i="11" s="1"/>
  <c r="L79" i="12"/>
  <c r="O79" i="12" s="1"/>
  <c r="M176" i="12"/>
  <c r="M174" i="12" s="1"/>
  <c r="P270" i="12"/>
  <c r="K369" i="12"/>
  <c r="K778" i="12"/>
  <c r="K781" i="12"/>
  <c r="K784" i="12"/>
  <c r="T142" i="12"/>
  <c r="Q140" i="12"/>
  <c r="T140" i="12" s="1"/>
  <c r="Q763" i="12"/>
  <c r="Q762" i="12"/>
  <c r="T762" i="12" s="1"/>
  <c r="S24" i="12"/>
  <c r="S21" i="12" s="1"/>
  <c r="S19" i="12" s="1"/>
  <c r="S158" i="12"/>
  <c r="K221" i="12"/>
  <c r="L223" i="12"/>
  <c r="O223" i="12" s="1"/>
  <c r="L244" i="12"/>
  <c r="O244" i="12" s="1"/>
  <c r="N336" i="12"/>
  <c r="N334" i="12" s="1"/>
  <c r="O337" i="12"/>
  <c r="O339" i="12"/>
  <c r="U696" i="12"/>
  <c r="K706" i="12"/>
  <c r="U765" i="12"/>
  <c r="R763" i="12"/>
  <c r="R306" i="1"/>
  <c r="I303" i="10"/>
  <c r="K303" i="10" s="1"/>
  <c r="O190" i="11"/>
  <c r="U192" i="11"/>
  <c r="Q270" i="11"/>
  <c r="K347" i="11"/>
  <c r="J702" i="11"/>
  <c r="R732" i="11"/>
  <c r="O50" i="12"/>
  <c r="M62" i="12"/>
  <c r="M60" i="12" s="1"/>
  <c r="M63" i="12"/>
  <c r="M75" i="12"/>
  <c r="M73" i="12" s="1"/>
  <c r="S76" i="12"/>
  <c r="M79" i="12"/>
  <c r="P79" i="12" s="1"/>
  <c r="I83" i="12"/>
  <c r="K83" i="12" s="1"/>
  <c r="M142" i="12"/>
  <c r="Q143" i="12"/>
  <c r="T143" i="12" s="1"/>
  <c r="O163" i="12"/>
  <c r="M164" i="12"/>
  <c r="P164" i="12" s="1"/>
  <c r="R176" i="12"/>
  <c r="M180" i="12"/>
  <c r="P180" i="12" s="1"/>
  <c r="I222" i="12"/>
  <c r="K222" i="12" s="1"/>
  <c r="S269" i="12"/>
  <c r="S267" i="12" s="1"/>
  <c r="O272" i="12"/>
  <c r="M286" i="12"/>
  <c r="P286" i="12" s="1"/>
  <c r="N323" i="12"/>
  <c r="N321" i="12" s="1"/>
  <c r="P339" i="12"/>
  <c r="S619" i="12"/>
  <c r="S617" i="12" s="1"/>
  <c r="T734" i="12"/>
  <c r="Q731" i="12"/>
  <c r="Q729" i="12" s="1"/>
  <c r="R269" i="8"/>
  <c r="R267" i="8" s="1"/>
  <c r="I117" i="11"/>
  <c r="K117" i="11" s="1"/>
  <c r="L120" i="11"/>
  <c r="O120" i="11" s="1"/>
  <c r="R143" i="11"/>
  <c r="U143" i="11" s="1"/>
  <c r="N176" i="11"/>
  <c r="N174" i="11" s="1"/>
  <c r="S189" i="11"/>
  <c r="S187" i="11" s="1"/>
  <c r="L237" i="11"/>
  <c r="N269" i="11"/>
  <c r="N267" i="11" s="1"/>
  <c r="L289" i="11"/>
  <c r="O289" i="11" s="1"/>
  <c r="M324" i="11"/>
  <c r="P324" i="11" s="1"/>
  <c r="K372" i="11"/>
  <c r="K779" i="11"/>
  <c r="K782" i="11"/>
  <c r="K785" i="11"/>
  <c r="M47" i="12"/>
  <c r="M45" i="12" s="1"/>
  <c r="M48" i="12"/>
  <c r="P81" i="12"/>
  <c r="Q98" i="12"/>
  <c r="T98" i="12" s="1"/>
  <c r="T145" i="12"/>
  <c r="M161" i="12"/>
  <c r="P161" i="12" s="1"/>
  <c r="P163" i="12"/>
  <c r="S176" i="12"/>
  <c r="S174" i="12" s="1"/>
  <c r="R190" i="12"/>
  <c r="U190" i="12" s="1"/>
  <c r="T192" i="12"/>
  <c r="L204" i="12"/>
  <c r="O204" i="12" s="1"/>
  <c r="L269" i="12"/>
  <c r="L306" i="12"/>
  <c r="L307" i="12"/>
  <c r="O307" i="12" s="1"/>
  <c r="U309" i="12"/>
  <c r="N516" i="12"/>
  <c r="N514" i="12" s="1"/>
  <c r="T622" i="12"/>
  <c r="T765" i="12"/>
  <c r="I222" i="11"/>
  <c r="K222" i="11" s="1"/>
  <c r="L285" i="11"/>
  <c r="L283" i="11" s="1"/>
  <c r="T694" i="11"/>
  <c r="S75" i="12"/>
  <c r="T100" i="12"/>
  <c r="K117" i="12"/>
  <c r="I139" i="12"/>
  <c r="K139" i="12" s="1"/>
  <c r="N161" i="12"/>
  <c r="T163" i="12"/>
  <c r="P192" i="12"/>
  <c r="U192" i="12"/>
  <c r="I239" i="12"/>
  <c r="K239" i="12" s="1"/>
  <c r="M269" i="12"/>
  <c r="M267" i="12" s="1"/>
  <c r="L310" i="12"/>
  <c r="O310" i="12" s="1"/>
  <c r="I320" i="12"/>
  <c r="K320" i="12" s="1"/>
  <c r="O360" i="12"/>
  <c r="P362" i="12"/>
  <c r="U622" i="12"/>
  <c r="S645" i="12"/>
  <c r="S643" i="12" s="1"/>
  <c r="T696" i="12"/>
  <c r="S174" i="7"/>
  <c r="Q75" i="11"/>
  <c r="Q73" i="11" s="1"/>
  <c r="P286" i="11"/>
  <c r="U646" i="11"/>
  <c r="L176" i="12"/>
  <c r="P337" i="12"/>
  <c r="P360" i="12"/>
  <c r="Q416" i="12"/>
  <c r="Q417" i="12"/>
  <c r="T417" i="12" s="1"/>
  <c r="S693" i="12"/>
  <c r="S691" i="12" s="1"/>
  <c r="R694" i="12"/>
  <c r="U694" i="12" s="1"/>
  <c r="R693" i="12"/>
  <c r="R691" i="12" s="1"/>
  <c r="S304" i="12"/>
  <c r="J344" i="12"/>
  <c r="O362" i="12"/>
  <c r="K370" i="12"/>
  <c r="J702" i="12"/>
  <c r="T97" i="12"/>
  <c r="Q95" i="12"/>
  <c r="T95" i="12" s="1"/>
  <c r="K387" i="12"/>
  <c r="J375" i="12"/>
  <c r="I282" i="5"/>
  <c r="K282" i="5" s="1"/>
  <c r="U270" i="9"/>
  <c r="L62" i="11"/>
  <c r="L60" i="11" s="1"/>
  <c r="P78" i="12"/>
  <c r="T120" i="12"/>
  <c r="Q118" i="12"/>
  <c r="T118" i="12" s="1"/>
  <c r="Q306" i="12"/>
  <c r="T309" i="12"/>
  <c r="K389" i="8"/>
  <c r="L124" i="11"/>
  <c r="O124" i="11" s="1"/>
  <c r="K506" i="11"/>
  <c r="J504" i="11"/>
  <c r="J493" i="11" s="1"/>
  <c r="N66" i="12"/>
  <c r="N62" i="12"/>
  <c r="N60" i="12" s="1"/>
  <c r="N76" i="12"/>
  <c r="P76" i="12" s="1"/>
  <c r="O78" i="12"/>
  <c r="N75" i="12"/>
  <c r="N73" i="12" s="1"/>
  <c r="R223" i="1"/>
  <c r="O148" i="11"/>
  <c r="L146" i="11"/>
  <c r="O146" i="11" s="1"/>
  <c r="N51" i="12"/>
  <c r="N27" i="12"/>
  <c r="N25" i="12" s="1"/>
  <c r="N47" i="12"/>
  <c r="N45" i="12" s="1"/>
  <c r="I303" i="8"/>
  <c r="K303" i="8" s="1"/>
  <c r="L47" i="10"/>
  <c r="L45" i="10" s="1"/>
  <c r="T78" i="11"/>
  <c r="Q142" i="11"/>
  <c r="T142" i="11" s="1"/>
  <c r="Q143" i="11"/>
  <c r="T143" i="11" s="1"/>
  <c r="O74" i="12"/>
  <c r="N97" i="12"/>
  <c r="N95" i="12" s="1"/>
  <c r="N98" i="12"/>
  <c r="R143" i="12"/>
  <c r="U143" i="12" s="1"/>
  <c r="U145" i="12"/>
  <c r="R142" i="12"/>
  <c r="R24" i="12"/>
  <c r="Q158" i="12"/>
  <c r="T158" i="12" s="1"/>
  <c r="L164" i="12"/>
  <c r="O164" i="12" s="1"/>
  <c r="O166" i="12"/>
  <c r="L27" i="12"/>
  <c r="S269" i="1"/>
  <c r="I93" i="6"/>
  <c r="K93" i="6" s="1"/>
  <c r="N189" i="6"/>
  <c r="N187" i="6" s="1"/>
  <c r="P286" i="10"/>
  <c r="S269" i="11"/>
  <c r="S267" i="11" s="1"/>
  <c r="S270" i="11"/>
  <c r="N20" i="12"/>
  <c r="N120" i="12"/>
  <c r="N118" i="12" s="1"/>
  <c r="N121" i="12"/>
  <c r="O145" i="12"/>
  <c r="L142" i="12"/>
  <c r="L24" i="12"/>
  <c r="L143" i="12"/>
  <c r="O143" i="12" s="1"/>
  <c r="T175" i="12"/>
  <c r="U190" i="11"/>
  <c r="L269" i="11"/>
  <c r="O269" i="11" s="1"/>
  <c r="L324" i="11"/>
  <c r="O324" i="11" s="1"/>
  <c r="N323" i="11"/>
  <c r="N321" i="11" s="1"/>
  <c r="K662" i="11"/>
  <c r="K679" i="11"/>
  <c r="Q24" i="12"/>
  <c r="L47" i="12"/>
  <c r="N48" i="12"/>
  <c r="O48" i="12" s="1"/>
  <c r="L62" i="12"/>
  <c r="N63" i="12"/>
  <c r="O63" i="12" s="1"/>
  <c r="Q75" i="12"/>
  <c r="O100" i="12"/>
  <c r="U100" i="12"/>
  <c r="O123" i="12"/>
  <c r="U123" i="12"/>
  <c r="P143" i="12"/>
  <c r="L160" i="12"/>
  <c r="O160" i="12" s="1"/>
  <c r="R160" i="12"/>
  <c r="U160" i="12" s="1"/>
  <c r="L235" i="11"/>
  <c r="P272" i="11"/>
  <c r="J344" i="11"/>
  <c r="I84" i="12"/>
  <c r="K254" i="12"/>
  <c r="O329" i="12"/>
  <c r="L327" i="12"/>
  <c r="O327" i="12" s="1"/>
  <c r="T272" i="11"/>
  <c r="O307" i="11"/>
  <c r="J703" i="11"/>
  <c r="Q762" i="11"/>
  <c r="N24" i="12"/>
  <c r="Q45" i="12"/>
  <c r="T45" i="12" s="1"/>
  <c r="Q60" i="12"/>
  <c r="T60" i="12" s="1"/>
  <c r="I94" i="12"/>
  <c r="K94" i="12" s="1"/>
  <c r="K110" i="12"/>
  <c r="P141" i="12"/>
  <c r="P179" i="12"/>
  <c r="P335" i="12"/>
  <c r="N270" i="11"/>
  <c r="U272" i="11"/>
  <c r="S306" i="11"/>
  <c r="S304" i="11" s="1"/>
  <c r="P307" i="11"/>
  <c r="L306" i="11"/>
  <c r="L304" i="11" s="1"/>
  <c r="I320" i="11"/>
  <c r="K320" i="11" s="1"/>
  <c r="O339" i="11"/>
  <c r="K345" i="11"/>
  <c r="K370" i="11"/>
  <c r="I493" i="11"/>
  <c r="K493" i="11" s="1"/>
  <c r="J675" i="11"/>
  <c r="K675" i="11" s="1"/>
  <c r="T78" i="12"/>
  <c r="K170" i="12"/>
  <c r="P188" i="12"/>
  <c r="N190" i="12"/>
  <c r="P190" i="12" s="1"/>
  <c r="N189" i="12"/>
  <c r="N187" i="12" s="1"/>
  <c r="O192" i="12"/>
  <c r="I203" i="12"/>
  <c r="K203" i="12" s="1"/>
  <c r="N289" i="12"/>
  <c r="N285" i="12"/>
  <c r="N283" i="12" s="1"/>
  <c r="L180" i="12"/>
  <c r="O180" i="12" s="1"/>
  <c r="Q189" i="12"/>
  <c r="N269" i="12"/>
  <c r="N306" i="12"/>
  <c r="N304" i="12" s="1"/>
  <c r="P342" i="12"/>
  <c r="K372" i="12"/>
  <c r="I366" i="12"/>
  <c r="K366" i="12" s="1"/>
  <c r="Q379" i="12"/>
  <c r="T381" i="12"/>
  <c r="Q378" i="12"/>
  <c r="T378" i="12" s="1"/>
  <c r="O395" i="12"/>
  <c r="L393" i="12"/>
  <c r="O393" i="12" s="1"/>
  <c r="U322" i="12"/>
  <c r="R321" i="12"/>
  <c r="U321" i="12" s="1"/>
  <c r="M324" i="12"/>
  <c r="P324" i="12" s="1"/>
  <c r="P326" i="12"/>
  <c r="P365" i="12"/>
  <c r="M363" i="12"/>
  <c r="P363" i="12" s="1"/>
  <c r="T272" i="12"/>
  <c r="O322" i="12"/>
  <c r="N363" i="12"/>
  <c r="N359" i="12"/>
  <c r="N357" i="12" s="1"/>
  <c r="P415" i="12"/>
  <c r="M414" i="12"/>
  <c r="P414" i="12" s="1"/>
  <c r="K633" i="12"/>
  <c r="K632" i="12"/>
  <c r="K631" i="12"/>
  <c r="K627" i="12"/>
  <c r="K630" i="12"/>
  <c r="I616" i="12"/>
  <c r="K616" i="12" s="1"/>
  <c r="I173" i="12"/>
  <c r="K173" i="12" s="1"/>
  <c r="L177" i="12"/>
  <c r="O177" i="12" s="1"/>
  <c r="K261" i="12"/>
  <c r="U272" i="12"/>
  <c r="L289" i="12"/>
  <c r="O289" i="12" s="1"/>
  <c r="O291" i="12"/>
  <c r="L285" i="12"/>
  <c r="K293" i="12"/>
  <c r="L323" i="12"/>
  <c r="O323" i="12" s="1"/>
  <c r="O326" i="12"/>
  <c r="S334" i="12"/>
  <c r="O342" i="12"/>
  <c r="L336" i="12"/>
  <c r="T495" i="12"/>
  <c r="L215" i="12"/>
  <c r="O215" i="12" s="1"/>
  <c r="P268" i="12"/>
  <c r="P272" i="12"/>
  <c r="P291" i="12"/>
  <c r="M285" i="12"/>
  <c r="M323" i="12"/>
  <c r="P323" i="12" s="1"/>
  <c r="T358" i="12"/>
  <c r="T377" i="12"/>
  <c r="Q497" i="12"/>
  <c r="T497" i="12" s="1"/>
  <c r="Q496" i="12"/>
  <c r="T496" i="12" s="1"/>
  <c r="N376" i="12"/>
  <c r="S393" i="12"/>
  <c r="I493" i="12"/>
  <c r="K493" i="12" s="1"/>
  <c r="L520" i="12"/>
  <c r="O520" i="12" s="1"/>
  <c r="O522" i="12"/>
  <c r="L516" i="12"/>
  <c r="O516" i="12" s="1"/>
  <c r="M393" i="12"/>
  <c r="P393" i="12" s="1"/>
  <c r="T394" i="12"/>
  <c r="T557" i="12"/>
  <c r="Q556" i="12"/>
  <c r="T556" i="12" s="1"/>
  <c r="T618" i="12"/>
  <c r="K708" i="12"/>
  <c r="I690" i="12"/>
  <c r="K690" i="12" s="1"/>
  <c r="I759" i="12"/>
  <c r="K759" i="12" s="1"/>
  <c r="K774" i="12"/>
  <c r="U419" i="12"/>
  <c r="R416" i="12"/>
  <c r="N494" i="12"/>
  <c r="I457" i="12"/>
  <c r="K457" i="12" s="1"/>
  <c r="K458" i="12"/>
  <c r="S731" i="12"/>
  <c r="S729" i="12" s="1"/>
  <c r="U734" i="12"/>
  <c r="S732" i="12"/>
  <c r="T732" i="12" s="1"/>
  <c r="K780" i="12"/>
  <c r="R762" i="12"/>
  <c r="U762" i="12" s="1"/>
  <c r="R620" i="12"/>
  <c r="U620" i="12" s="1"/>
  <c r="Q646" i="12"/>
  <c r="T646" i="12" s="1"/>
  <c r="Q694" i="12"/>
  <c r="T694" i="12" s="1"/>
  <c r="I702" i="12"/>
  <c r="M556" i="12"/>
  <c r="P556" i="12" s="1"/>
  <c r="M617" i="12"/>
  <c r="P617" i="12" s="1"/>
  <c r="Q619" i="12"/>
  <c r="L643" i="12"/>
  <c r="O643" i="12" s="1"/>
  <c r="L691" i="12"/>
  <c r="O691" i="12" s="1"/>
  <c r="R619" i="12"/>
  <c r="Q645" i="12"/>
  <c r="Q693" i="12"/>
  <c r="K294" i="10"/>
  <c r="N161" i="11"/>
  <c r="P161" i="11" s="1"/>
  <c r="P163" i="11"/>
  <c r="N160" i="11"/>
  <c r="N158" i="11" s="1"/>
  <c r="T179" i="11"/>
  <c r="Q177" i="11"/>
  <c r="T177" i="11" s="1"/>
  <c r="K315" i="11"/>
  <c r="I303" i="11"/>
  <c r="K303" i="11" s="1"/>
  <c r="P339" i="11"/>
  <c r="M337" i="11"/>
  <c r="R24" i="11"/>
  <c r="R22" i="11" s="1"/>
  <c r="M120" i="11"/>
  <c r="M118" i="11" s="1"/>
  <c r="P118" i="11" s="1"/>
  <c r="M121" i="11"/>
  <c r="P121" i="11" s="1"/>
  <c r="P123" i="11"/>
  <c r="Q190" i="11"/>
  <c r="T190" i="11" s="1"/>
  <c r="Q189" i="11"/>
  <c r="Q187" i="11" s="1"/>
  <c r="M193" i="11"/>
  <c r="P193" i="11" s="1"/>
  <c r="M189" i="11"/>
  <c r="M187" i="11" s="1"/>
  <c r="O312" i="11"/>
  <c r="L310" i="11"/>
  <c r="O310" i="11" s="1"/>
  <c r="K441" i="11"/>
  <c r="I424" i="11"/>
  <c r="I413" i="11" s="1"/>
  <c r="K413" i="11" s="1"/>
  <c r="L289" i="10"/>
  <c r="O289" i="10" s="1"/>
  <c r="M517" i="10"/>
  <c r="P517" i="10" s="1"/>
  <c r="K294" i="11"/>
  <c r="I281" i="11"/>
  <c r="K281" i="11" s="1"/>
  <c r="S762" i="11"/>
  <c r="S760" i="11" s="1"/>
  <c r="S763" i="11"/>
  <c r="U763" i="11" s="1"/>
  <c r="T765" i="11"/>
  <c r="L164" i="10"/>
  <c r="O164" i="10" s="1"/>
  <c r="Q174" i="11"/>
  <c r="T174" i="11" s="1"/>
  <c r="T176" i="11"/>
  <c r="N120" i="10"/>
  <c r="N118" i="10" s="1"/>
  <c r="P163" i="10"/>
  <c r="M124" i="11"/>
  <c r="P124" i="11" s="1"/>
  <c r="P126" i="11"/>
  <c r="S142" i="11"/>
  <c r="S140" i="11" s="1"/>
  <c r="S143" i="11"/>
  <c r="M520" i="11"/>
  <c r="P520" i="11" s="1"/>
  <c r="I139" i="11"/>
  <c r="K139" i="11" s="1"/>
  <c r="O145" i="11"/>
  <c r="L27" i="11"/>
  <c r="O27" i="11" s="1"/>
  <c r="I83" i="11"/>
  <c r="I71" i="11" s="1"/>
  <c r="K71" i="11" s="1"/>
  <c r="P145" i="11"/>
  <c r="R306" i="11"/>
  <c r="R304" i="11" s="1"/>
  <c r="N327" i="11"/>
  <c r="L270" i="11"/>
  <c r="O270" i="11" s="1"/>
  <c r="L286" i="11"/>
  <c r="O286" i="11" s="1"/>
  <c r="P312" i="11"/>
  <c r="N337" i="11"/>
  <c r="O337" i="11" s="1"/>
  <c r="L51" i="11"/>
  <c r="O51" i="11" s="1"/>
  <c r="P63" i="11"/>
  <c r="S75" i="11"/>
  <c r="S73" i="11" s="1"/>
  <c r="L75" i="11"/>
  <c r="L73" i="11" s="1"/>
  <c r="U123" i="11"/>
  <c r="L142" i="11"/>
  <c r="L140" i="11" s="1"/>
  <c r="O163" i="11"/>
  <c r="M176" i="11"/>
  <c r="L244" i="11"/>
  <c r="O244" i="11" s="1"/>
  <c r="M270" i="11"/>
  <c r="O272" i="11"/>
  <c r="P288" i="11"/>
  <c r="M517" i="11"/>
  <c r="P517" i="11" s="1"/>
  <c r="K706" i="11"/>
  <c r="K781" i="10"/>
  <c r="L47" i="11"/>
  <c r="L45" i="11" s="1"/>
  <c r="M51" i="11"/>
  <c r="P51" i="11" s="1"/>
  <c r="M24" i="11"/>
  <c r="N142" i="11"/>
  <c r="N140" i="11" s="1"/>
  <c r="R161" i="11"/>
  <c r="U161" i="11" s="1"/>
  <c r="P166" i="11"/>
  <c r="L273" i="11"/>
  <c r="O273" i="11" s="1"/>
  <c r="J352" i="11"/>
  <c r="T622" i="11"/>
  <c r="T648" i="11"/>
  <c r="K710" i="11"/>
  <c r="N47" i="9"/>
  <c r="N75" i="10"/>
  <c r="N73" i="10" s="1"/>
  <c r="M75" i="10"/>
  <c r="M73" i="10" s="1"/>
  <c r="M164" i="10"/>
  <c r="P164" i="10" s="1"/>
  <c r="N160" i="10"/>
  <c r="N158" i="10" s="1"/>
  <c r="J344" i="10"/>
  <c r="Q24" i="11"/>
  <c r="S76" i="11"/>
  <c r="T76" i="11" s="1"/>
  <c r="K85" i="11"/>
  <c r="M142" i="11"/>
  <c r="I157" i="11"/>
  <c r="K157" i="11" s="1"/>
  <c r="L176" i="11"/>
  <c r="L174" i="11" s="1"/>
  <c r="L189" i="11"/>
  <c r="R189" i="11"/>
  <c r="P190" i="11"/>
  <c r="I196" i="11"/>
  <c r="K196" i="11" s="1"/>
  <c r="L204" i="11"/>
  <c r="O204" i="11" s="1"/>
  <c r="L255" i="11"/>
  <c r="O255" i="11" s="1"/>
  <c r="I266" i="11"/>
  <c r="K266" i="11" s="1"/>
  <c r="N336" i="11"/>
  <c r="N334" i="11" s="1"/>
  <c r="N516" i="11"/>
  <c r="N514" i="11" s="1"/>
  <c r="K677" i="11"/>
  <c r="K704" i="11"/>
  <c r="I83" i="9"/>
  <c r="I71" i="9" s="1"/>
  <c r="K71" i="9" s="1"/>
  <c r="S269" i="9"/>
  <c r="S267" i="9" s="1"/>
  <c r="N142" i="10"/>
  <c r="N140" i="10" s="1"/>
  <c r="N285" i="10"/>
  <c r="N283" i="10" s="1"/>
  <c r="U648" i="10"/>
  <c r="M27" i="11"/>
  <c r="M66" i="11"/>
  <c r="P66" i="11" s="1"/>
  <c r="P68" i="11"/>
  <c r="Q97" i="11"/>
  <c r="Q95" i="11" s="1"/>
  <c r="U98" i="11"/>
  <c r="K109" i="11"/>
  <c r="L143" i="11"/>
  <c r="O143" i="11" s="1"/>
  <c r="T145" i="11"/>
  <c r="R160" i="11"/>
  <c r="S161" i="11"/>
  <c r="L164" i="11"/>
  <c r="O164" i="11" s="1"/>
  <c r="N189" i="11"/>
  <c r="O192" i="11"/>
  <c r="L193" i="11"/>
  <c r="O193" i="11" s="1"/>
  <c r="L236" i="11"/>
  <c r="M269" i="11"/>
  <c r="M273" i="11"/>
  <c r="P273" i="11" s="1"/>
  <c r="M306" i="11"/>
  <c r="P309" i="11"/>
  <c r="M327" i="11"/>
  <c r="P327" i="11" s="1"/>
  <c r="L363" i="11"/>
  <c r="O363" i="11" s="1"/>
  <c r="K386" i="11"/>
  <c r="Q417" i="11"/>
  <c r="T417" i="11" s="1"/>
  <c r="T419" i="11"/>
  <c r="T499" i="11"/>
  <c r="L516" i="11"/>
  <c r="L514" i="11" s="1"/>
  <c r="O514" i="11" s="1"/>
  <c r="O519" i="11"/>
  <c r="S619" i="11"/>
  <c r="U696" i="11"/>
  <c r="M160" i="10"/>
  <c r="P160" i="10" s="1"/>
  <c r="I214" i="10"/>
  <c r="K214" i="10" s="1"/>
  <c r="N24" i="11"/>
  <c r="N22" i="11" s="1"/>
  <c r="M76" i="11"/>
  <c r="P76" i="11" s="1"/>
  <c r="N98" i="11"/>
  <c r="N120" i="11"/>
  <c r="N118" i="11" s="1"/>
  <c r="M143" i="11"/>
  <c r="P143" i="11" s="1"/>
  <c r="U145" i="11"/>
  <c r="P192" i="11"/>
  <c r="P195" i="11"/>
  <c r="L223" i="11"/>
  <c r="O223" i="11" s="1"/>
  <c r="K293" i="11"/>
  <c r="N306" i="11"/>
  <c r="N304" i="11" s="1"/>
  <c r="M323" i="11"/>
  <c r="P323" i="11" s="1"/>
  <c r="J333" i="11"/>
  <c r="K333" i="11" s="1"/>
  <c r="P365" i="11"/>
  <c r="K369" i="11"/>
  <c r="Q496" i="11"/>
  <c r="M516" i="11"/>
  <c r="P516" i="11" s="1"/>
  <c r="I702" i="11"/>
  <c r="K783" i="11"/>
  <c r="U123" i="10"/>
  <c r="N516" i="10"/>
  <c r="N514" i="10" s="1"/>
  <c r="R645" i="10"/>
  <c r="R643" i="10" s="1"/>
  <c r="U643" i="10" s="1"/>
  <c r="S646" i="10"/>
  <c r="N62" i="11"/>
  <c r="N60" i="11" s="1"/>
  <c r="O103" i="11"/>
  <c r="I138" i="11"/>
  <c r="K138" i="11" s="1"/>
  <c r="L160" i="11"/>
  <c r="L158" i="11" s="1"/>
  <c r="L161" i="11"/>
  <c r="T192" i="11"/>
  <c r="O288" i="11"/>
  <c r="U309" i="11"/>
  <c r="K366" i="11"/>
  <c r="S379" i="11"/>
  <c r="S416" i="11"/>
  <c r="S414" i="11" s="1"/>
  <c r="S496" i="11"/>
  <c r="S494" i="11" s="1"/>
  <c r="U622" i="11"/>
  <c r="U648" i="11"/>
  <c r="R693" i="11"/>
  <c r="R691" i="11" s="1"/>
  <c r="S24" i="11"/>
  <c r="S22" i="11" s="1"/>
  <c r="L215" i="11"/>
  <c r="O215" i="11" s="1"/>
  <c r="U307" i="11"/>
  <c r="O309" i="11"/>
  <c r="Q646" i="11"/>
  <c r="T646" i="11" s="1"/>
  <c r="T696" i="11"/>
  <c r="I222" i="8"/>
  <c r="K222" i="8" s="1"/>
  <c r="J702" i="9"/>
  <c r="O68" i="10"/>
  <c r="P100" i="10"/>
  <c r="S120" i="10"/>
  <c r="S118" i="10" s="1"/>
  <c r="M124" i="10"/>
  <c r="P124" i="10" s="1"/>
  <c r="N176" i="10"/>
  <c r="N174" i="10" s="1"/>
  <c r="K261" i="10"/>
  <c r="O288" i="10"/>
  <c r="P365" i="10"/>
  <c r="R763" i="10"/>
  <c r="U763" i="10" s="1"/>
  <c r="N20" i="11"/>
  <c r="T26" i="11"/>
  <c r="T46" i="11"/>
  <c r="Q45" i="11"/>
  <c r="T45" i="11" s="1"/>
  <c r="N47" i="11"/>
  <c r="N45" i="11" s="1"/>
  <c r="N48" i="11"/>
  <c r="L48" i="11"/>
  <c r="O50" i="11"/>
  <c r="T74" i="11"/>
  <c r="N75" i="11"/>
  <c r="N73" i="11" s="1"/>
  <c r="L79" i="11"/>
  <c r="O79" i="11" s="1"/>
  <c r="O81" i="11"/>
  <c r="U100" i="11"/>
  <c r="Q161" i="11"/>
  <c r="T161" i="11" s="1"/>
  <c r="T163" i="11"/>
  <c r="I203" i="11"/>
  <c r="K203" i="11" s="1"/>
  <c r="K210" i="11"/>
  <c r="I254" i="11"/>
  <c r="K254" i="11" s="1"/>
  <c r="I239" i="11"/>
  <c r="K239" i="11" s="1"/>
  <c r="K261" i="11"/>
  <c r="O65" i="10"/>
  <c r="S176" i="10"/>
  <c r="S174" i="10" s="1"/>
  <c r="K706" i="10"/>
  <c r="S763" i="10"/>
  <c r="R45" i="11"/>
  <c r="U45" i="11" s="1"/>
  <c r="P50" i="11"/>
  <c r="R73" i="11"/>
  <c r="U96" i="11"/>
  <c r="O100" i="11"/>
  <c r="P141" i="11"/>
  <c r="Q160" i="11"/>
  <c r="T160" i="11" s="1"/>
  <c r="P175" i="11"/>
  <c r="R177" i="11"/>
  <c r="U177" i="11" s="1"/>
  <c r="U179" i="11"/>
  <c r="P188" i="11"/>
  <c r="P394" i="11"/>
  <c r="M393" i="11"/>
  <c r="P393" i="11" s="1"/>
  <c r="R514" i="11"/>
  <c r="U514" i="11" s="1"/>
  <c r="U516" i="11"/>
  <c r="I139" i="8"/>
  <c r="K139" i="8" s="1"/>
  <c r="O78" i="10"/>
  <c r="P190" i="10"/>
  <c r="K785" i="10"/>
  <c r="R76" i="11"/>
  <c r="U78" i="11"/>
  <c r="O96" i="11"/>
  <c r="R97" i="11"/>
  <c r="M101" i="11"/>
  <c r="P101" i="11" s="1"/>
  <c r="P103" i="11"/>
  <c r="L180" i="11"/>
  <c r="O180" i="11" s="1"/>
  <c r="O182" i="11"/>
  <c r="U381" i="11"/>
  <c r="R378" i="11"/>
  <c r="U378" i="11" s="1"/>
  <c r="R379" i="11"/>
  <c r="U379" i="11" s="1"/>
  <c r="N286" i="1"/>
  <c r="K706" i="9"/>
  <c r="N76" i="10"/>
  <c r="P76" i="10" s="1"/>
  <c r="T163" i="10"/>
  <c r="L97" i="11"/>
  <c r="O97" i="11" s="1"/>
  <c r="S97" i="11"/>
  <c r="R120" i="11"/>
  <c r="R121" i="11"/>
  <c r="U121" i="11" s="1"/>
  <c r="Q121" i="11"/>
  <c r="T121" i="11" s="1"/>
  <c r="T123" i="11"/>
  <c r="L177" i="11"/>
  <c r="O177" i="11" s="1"/>
  <c r="O179" i="11"/>
  <c r="P322" i="11"/>
  <c r="T358" i="11"/>
  <c r="Q357" i="11"/>
  <c r="T357" i="11" s="1"/>
  <c r="T61" i="11"/>
  <c r="Q60" i="11"/>
  <c r="T60" i="11" s="1"/>
  <c r="L63" i="11"/>
  <c r="O63" i="11" s="1"/>
  <c r="O65" i="11"/>
  <c r="L76" i="11"/>
  <c r="O76" i="11" s="1"/>
  <c r="O78" i="11"/>
  <c r="U176" i="11"/>
  <c r="R174" i="11"/>
  <c r="U174" i="11" s="1"/>
  <c r="P268" i="11"/>
  <c r="P50" i="10"/>
  <c r="Q142" i="10"/>
  <c r="L237" i="10"/>
  <c r="T765" i="10"/>
  <c r="L24" i="11"/>
  <c r="M47" i="11"/>
  <c r="M48" i="11"/>
  <c r="N51" i="11"/>
  <c r="N27" i="11"/>
  <c r="N25" i="11" s="1"/>
  <c r="R60" i="11"/>
  <c r="U60" i="11" s="1"/>
  <c r="P65" i="11"/>
  <c r="M75" i="11"/>
  <c r="P78" i="11"/>
  <c r="M79" i="11"/>
  <c r="P79" i="11" s="1"/>
  <c r="I94" i="11"/>
  <c r="K94" i="11" s="1"/>
  <c r="P96" i="11"/>
  <c r="M98" i="11"/>
  <c r="P100" i="11"/>
  <c r="T100" i="11"/>
  <c r="Q118" i="11"/>
  <c r="R140" i="11"/>
  <c r="U140" i="11" s="1"/>
  <c r="I173" i="11"/>
  <c r="K173" i="11" s="1"/>
  <c r="S176" i="11"/>
  <c r="S174" i="11" s="1"/>
  <c r="M177" i="11"/>
  <c r="P177" i="11" s="1"/>
  <c r="P179" i="11"/>
  <c r="M180" i="11"/>
  <c r="P180" i="11" s="1"/>
  <c r="P182" i="11"/>
  <c r="R357" i="11"/>
  <c r="U357" i="11" s="1"/>
  <c r="U359" i="11"/>
  <c r="U377" i="11"/>
  <c r="S731" i="11"/>
  <c r="S729" i="11" s="1"/>
  <c r="U729" i="11" s="1"/>
  <c r="U734" i="11"/>
  <c r="S732" i="11"/>
  <c r="T732" i="11" s="1"/>
  <c r="K168" i="11"/>
  <c r="S376" i="11"/>
  <c r="P515" i="11"/>
  <c r="I84" i="11"/>
  <c r="I169" i="11"/>
  <c r="K169" i="11" s="1"/>
  <c r="Q304" i="11"/>
  <c r="U322" i="11"/>
  <c r="R321" i="11"/>
  <c r="U321" i="11" s="1"/>
  <c r="L327" i="11"/>
  <c r="O327" i="11" s="1"/>
  <c r="O329" i="11"/>
  <c r="L323" i="11"/>
  <c r="O323" i="11" s="1"/>
  <c r="L340" i="11"/>
  <c r="O340" i="11" s="1"/>
  <c r="O342" i="11"/>
  <c r="L336" i="11"/>
  <c r="L360" i="11"/>
  <c r="O362" i="11"/>
  <c r="O377" i="11"/>
  <c r="L376" i="11"/>
  <c r="O376" i="11" s="1"/>
  <c r="U394" i="11"/>
  <c r="R393" i="11"/>
  <c r="U393" i="11" s="1"/>
  <c r="T557" i="11"/>
  <c r="Q556" i="11"/>
  <c r="T556" i="11" s="1"/>
  <c r="M289" i="11"/>
  <c r="P289" i="11" s="1"/>
  <c r="P291" i="11"/>
  <c r="M285" i="11"/>
  <c r="Q307" i="11"/>
  <c r="T307" i="11" s="1"/>
  <c r="T309" i="11"/>
  <c r="P335" i="11"/>
  <c r="M340" i="11"/>
  <c r="P340" i="11" s="1"/>
  <c r="P342" i="11"/>
  <c r="M336" i="11"/>
  <c r="M360" i="11"/>
  <c r="P362" i="11"/>
  <c r="P377" i="11"/>
  <c r="M376" i="11"/>
  <c r="P376" i="11" s="1"/>
  <c r="Q414" i="11"/>
  <c r="T414" i="11" s="1"/>
  <c r="T415" i="11"/>
  <c r="N289" i="11"/>
  <c r="N285" i="11"/>
  <c r="N283" i="11" s="1"/>
  <c r="O322" i="11"/>
  <c r="N376" i="11"/>
  <c r="T381" i="11"/>
  <c r="Q378" i="11"/>
  <c r="O394" i="11"/>
  <c r="L393" i="11"/>
  <c r="O393" i="11" s="1"/>
  <c r="P496" i="11"/>
  <c r="M494" i="11"/>
  <c r="P494" i="11" s="1"/>
  <c r="M414" i="11"/>
  <c r="P414" i="11" s="1"/>
  <c r="L520" i="11"/>
  <c r="O520" i="11" s="1"/>
  <c r="O522" i="11"/>
  <c r="U694" i="11"/>
  <c r="I759" i="11"/>
  <c r="K759" i="11" s="1"/>
  <c r="K774" i="11"/>
  <c r="I243" i="11"/>
  <c r="U419" i="11"/>
  <c r="R416" i="11"/>
  <c r="K458" i="11"/>
  <c r="U495" i="11"/>
  <c r="R497" i="11"/>
  <c r="U497" i="11" s="1"/>
  <c r="U499" i="11"/>
  <c r="R496" i="11"/>
  <c r="U496" i="11" s="1"/>
  <c r="T618" i="11"/>
  <c r="K633" i="11"/>
  <c r="K632" i="11"/>
  <c r="K631" i="11"/>
  <c r="K627" i="11"/>
  <c r="K630" i="11"/>
  <c r="N494" i="11"/>
  <c r="K708" i="11"/>
  <c r="I690" i="11"/>
  <c r="K690" i="11" s="1"/>
  <c r="K780" i="11"/>
  <c r="S645" i="11"/>
  <c r="S643" i="11" s="1"/>
  <c r="S693" i="11"/>
  <c r="S691" i="11" s="1"/>
  <c r="Q731" i="11"/>
  <c r="T734" i="11"/>
  <c r="R762" i="11"/>
  <c r="U765" i="11"/>
  <c r="M556" i="11"/>
  <c r="P556" i="11" s="1"/>
  <c r="M617" i="11"/>
  <c r="P617" i="11" s="1"/>
  <c r="S620" i="11"/>
  <c r="U620" i="11" s="1"/>
  <c r="L643" i="11"/>
  <c r="O643" i="11" s="1"/>
  <c r="L691" i="11"/>
  <c r="O691" i="11" s="1"/>
  <c r="R619" i="11"/>
  <c r="Q645" i="11"/>
  <c r="Q693" i="11"/>
  <c r="I758" i="11"/>
  <c r="K758" i="11" s="1"/>
  <c r="O312" i="10"/>
  <c r="L310" i="10"/>
  <c r="O310" i="10" s="1"/>
  <c r="K109" i="9"/>
  <c r="I173" i="9"/>
  <c r="K173" i="9" s="1"/>
  <c r="L234" i="9"/>
  <c r="J375" i="9"/>
  <c r="Q496" i="9"/>
  <c r="T496" i="9" s="1"/>
  <c r="N47" i="10"/>
  <c r="N45" i="10" s="1"/>
  <c r="N62" i="10"/>
  <c r="N60" i="10" s="1"/>
  <c r="N98" i="10"/>
  <c r="L101" i="10"/>
  <c r="O101" i="10" s="1"/>
  <c r="R120" i="10"/>
  <c r="R118" i="10" s="1"/>
  <c r="K199" i="10"/>
  <c r="I196" i="10"/>
  <c r="K196" i="10" s="1"/>
  <c r="L204" i="10"/>
  <c r="O204" i="10" s="1"/>
  <c r="L269" i="10"/>
  <c r="O272" i="10"/>
  <c r="L270" i="10"/>
  <c r="O270" i="10" s="1"/>
  <c r="L273" i="10"/>
  <c r="O273" i="10" s="1"/>
  <c r="P291" i="10"/>
  <c r="U309" i="10"/>
  <c r="R307" i="10"/>
  <c r="U307" i="10" s="1"/>
  <c r="L336" i="10"/>
  <c r="L334" i="10" s="1"/>
  <c r="I424" i="10"/>
  <c r="K424" i="10" s="1"/>
  <c r="M160" i="9"/>
  <c r="M158" i="9" s="1"/>
  <c r="P158" i="9" s="1"/>
  <c r="N48" i="10"/>
  <c r="P48" i="10" s="1"/>
  <c r="N97" i="10"/>
  <c r="P123" i="10"/>
  <c r="T179" i="10"/>
  <c r="Q177" i="10"/>
  <c r="T177" i="10" s="1"/>
  <c r="I243" i="10"/>
  <c r="I232" i="10" s="1"/>
  <c r="I239" i="10"/>
  <c r="K239" i="10" s="1"/>
  <c r="S270" i="10"/>
  <c r="T270" i="10" s="1"/>
  <c r="M270" i="10"/>
  <c r="P270" i="10" s="1"/>
  <c r="P272" i="10"/>
  <c r="O342" i="10"/>
  <c r="L340" i="10"/>
  <c r="O340" i="10" s="1"/>
  <c r="K708" i="10"/>
  <c r="I690" i="10"/>
  <c r="K690" i="10" s="1"/>
  <c r="S24" i="10"/>
  <c r="S22" i="10" s="1"/>
  <c r="P78" i="10"/>
  <c r="I117" i="10"/>
  <c r="K117" i="10" s="1"/>
  <c r="K153" i="10"/>
  <c r="Q176" i="10"/>
  <c r="N269" i="10"/>
  <c r="N267" i="10" s="1"/>
  <c r="L363" i="10"/>
  <c r="O363" i="10" s="1"/>
  <c r="L98" i="8"/>
  <c r="O98" i="8" s="1"/>
  <c r="N142" i="8"/>
  <c r="N140" i="8" s="1"/>
  <c r="M24" i="10"/>
  <c r="M22" i="10" s="1"/>
  <c r="Q121" i="10"/>
  <c r="T121" i="10" s="1"/>
  <c r="R142" i="10"/>
  <c r="U142" i="10" s="1"/>
  <c r="U145" i="10"/>
  <c r="R176" i="10"/>
  <c r="L234" i="10"/>
  <c r="T272" i="10"/>
  <c r="S306" i="10"/>
  <c r="S304" i="10" s="1"/>
  <c r="U304" i="10" s="1"/>
  <c r="L359" i="10"/>
  <c r="L357" i="10" s="1"/>
  <c r="L360" i="10"/>
  <c r="O360" i="10" s="1"/>
  <c r="R378" i="10"/>
  <c r="U378" i="10" s="1"/>
  <c r="S417" i="10"/>
  <c r="S416" i="10"/>
  <c r="S414" i="10" s="1"/>
  <c r="Q646" i="8"/>
  <c r="S142" i="9"/>
  <c r="S140" i="9" s="1"/>
  <c r="U78" i="10"/>
  <c r="I83" i="10"/>
  <c r="I71" i="10" s="1"/>
  <c r="K71" i="10" s="1"/>
  <c r="I94" i="10"/>
  <c r="K94" i="10" s="1"/>
  <c r="U100" i="10"/>
  <c r="R121" i="10"/>
  <c r="U121" i="10" s="1"/>
  <c r="Q143" i="10"/>
  <c r="T143" i="10" s="1"/>
  <c r="L143" i="10"/>
  <c r="O143" i="10" s="1"/>
  <c r="L142" i="10"/>
  <c r="S160" i="10"/>
  <c r="S158" i="10" s="1"/>
  <c r="S161" i="10"/>
  <c r="U179" i="10"/>
  <c r="L215" i="10"/>
  <c r="O215" i="10" s="1"/>
  <c r="L244" i="10"/>
  <c r="O244" i="10" s="1"/>
  <c r="I266" i="10"/>
  <c r="K266" i="10" s="1"/>
  <c r="U272" i="10"/>
  <c r="L327" i="10"/>
  <c r="O327" i="10" s="1"/>
  <c r="O329" i="10"/>
  <c r="K331" i="10"/>
  <c r="K370" i="10"/>
  <c r="U381" i="10"/>
  <c r="I702" i="10"/>
  <c r="N189" i="10"/>
  <c r="N187" i="10" s="1"/>
  <c r="U499" i="10"/>
  <c r="J702" i="10"/>
  <c r="K154" i="10"/>
  <c r="J352" i="10"/>
  <c r="S379" i="10"/>
  <c r="J375" i="10"/>
  <c r="U189" i="10"/>
  <c r="M62" i="9"/>
  <c r="M60" i="9" s="1"/>
  <c r="I139" i="9"/>
  <c r="K139" i="9" s="1"/>
  <c r="Q269" i="9"/>
  <c r="I282" i="9"/>
  <c r="K282" i="9" s="1"/>
  <c r="K369" i="9"/>
  <c r="R76" i="10"/>
  <c r="R97" i="10"/>
  <c r="R98" i="10"/>
  <c r="U98" i="10" s="1"/>
  <c r="N124" i="10"/>
  <c r="Q160" i="10"/>
  <c r="K184" i="10"/>
  <c r="L236" i="10"/>
  <c r="K372" i="10"/>
  <c r="J703" i="10"/>
  <c r="K710" i="10"/>
  <c r="I117" i="9"/>
  <c r="K117" i="9" s="1"/>
  <c r="L237" i="9"/>
  <c r="R269" i="9"/>
  <c r="L27" i="10"/>
  <c r="O27" i="10" s="1"/>
  <c r="O50" i="10"/>
  <c r="O53" i="10"/>
  <c r="R75" i="10"/>
  <c r="R73" i="10" s="1"/>
  <c r="S76" i="10"/>
  <c r="T76" i="10" s="1"/>
  <c r="M79" i="10"/>
  <c r="P79" i="10" s="1"/>
  <c r="O81" i="10"/>
  <c r="S97" i="10"/>
  <c r="S95" i="10" s="1"/>
  <c r="M120" i="10"/>
  <c r="P145" i="10"/>
  <c r="L146" i="10"/>
  <c r="O146" i="10" s="1"/>
  <c r="Q161" i="10"/>
  <c r="T161" i="10" s="1"/>
  <c r="K170" i="10"/>
  <c r="P179" i="10"/>
  <c r="M180" i="10"/>
  <c r="P180" i="10" s="1"/>
  <c r="M189" i="10"/>
  <c r="K230" i="10"/>
  <c r="L286" i="10"/>
  <c r="O286" i="10" s="1"/>
  <c r="L307" i="10"/>
  <c r="O307" i="10" s="1"/>
  <c r="M324" i="10"/>
  <c r="P324" i="10" s="1"/>
  <c r="P339" i="10"/>
  <c r="N359" i="10"/>
  <c r="N357" i="10" s="1"/>
  <c r="P362" i="10"/>
  <c r="K458" i="10"/>
  <c r="I457" i="10"/>
  <c r="K457" i="10" s="1"/>
  <c r="J676" i="10"/>
  <c r="R691" i="10"/>
  <c r="T696" i="10"/>
  <c r="Q694" i="10"/>
  <c r="I758" i="10"/>
  <c r="K758" i="10" s="1"/>
  <c r="Q762" i="10"/>
  <c r="Q760" i="10" s="1"/>
  <c r="T760" i="10" s="1"/>
  <c r="K780" i="10"/>
  <c r="L340" i="1"/>
  <c r="O340" i="1" s="1"/>
  <c r="R161" i="9"/>
  <c r="U161" i="9" s="1"/>
  <c r="P166" i="9"/>
  <c r="S176" i="9"/>
  <c r="S174" i="9" s="1"/>
  <c r="O195" i="9"/>
  <c r="T272" i="9"/>
  <c r="I616" i="9"/>
  <c r="K616" i="9" s="1"/>
  <c r="S763" i="9"/>
  <c r="U763" i="9" s="1"/>
  <c r="L24" i="10"/>
  <c r="M63" i="10"/>
  <c r="P63" i="10" s="1"/>
  <c r="P65" i="10"/>
  <c r="P81" i="10"/>
  <c r="L98" i="10"/>
  <c r="O98" i="10" s="1"/>
  <c r="N101" i="10"/>
  <c r="L121" i="10"/>
  <c r="O121" i="10" s="1"/>
  <c r="T123" i="10"/>
  <c r="S142" i="10"/>
  <c r="S140" i="10" s="1"/>
  <c r="P148" i="10"/>
  <c r="M176" i="10"/>
  <c r="M174" i="10" s="1"/>
  <c r="S190" i="10"/>
  <c r="T190" i="10" s="1"/>
  <c r="P192" i="10"/>
  <c r="O195" i="10"/>
  <c r="Q269" i="10"/>
  <c r="T269" i="10" s="1"/>
  <c r="L285" i="10"/>
  <c r="L283" i="10" s="1"/>
  <c r="P288" i="10"/>
  <c r="M307" i="10"/>
  <c r="P307" i="10" s="1"/>
  <c r="N323" i="10"/>
  <c r="N321" i="10" s="1"/>
  <c r="Q645" i="10"/>
  <c r="T648" i="10"/>
  <c r="R732" i="10"/>
  <c r="U732" i="10" s="1"/>
  <c r="U272" i="9"/>
  <c r="T499" i="9"/>
  <c r="J703" i="9"/>
  <c r="L75" i="10"/>
  <c r="L97" i="10"/>
  <c r="L120" i="10"/>
  <c r="K173" i="10"/>
  <c r="R416" i="10"/>
  <c r="R417" i="10"/>
  <c r="U417" i="10" s="1"/>
  <c r="S694" i="10"/>
  <c r="S693" i="10"/>
  <c r="U693" i="10" s="1"/>
  <c r="S269" i="8"/>
  <c r="P163" i="9"/>
  <c r="U307" i="9"/>
  <c r="J675" i="9"/>
  <c r="K675" i="9" s="1"/>
  <c r="R24" i="10"/>
  <c r="R22" i="10" s="1"/>
  <c r="L62" i="10"/>
  <c r="T78" i="10"/>
  <c r="I93" i="10"/>
  <c r="K93" i="10" s="1"/>
  <c r="L124" i="10"/>
  <c r="O124" i="10" s="1"/>
  <c r="I137" i="10"/>
  <c r="K137" i="10" s="1"/>
  <c r="M142" i="10"/>
  <c r="P142" i="10" s="1"/>
  <c r="S267" i="10"/>
  <c r="M273" i="10"/>
  <c r="P273" i="10" s="1"/>
  <c r="L306" i="10"/>
  <c r="M327" i="10"/>
  <c r="P327" i="10" s="1"/>
  <c r="O339" i="10"/>
  <c r="O362" i="10"/>
  <c r="K369" i="10"/>
  <c r="K366" i="10"/>
  <c r="R496" i="10"/>
  <c r="U496" i="10" s="1"/>
  <c r="S496" i="10"/>
  <c r="S494" i="10" s="1"/>
  <c r="S497" i="10"/>
  <c r="K504" i="10"/>
  <c r="I493" i="10"/>
  <c r="K493" i="10" s="1"/>
  <c r="R619" i="10"/>
  <c r="R617" i="10" s="1"/>
  <c r="K704" i="10"/>
  <c r="T734" i="10"/>
  <c r="Q732" i="10"/>
  <c r="T732" i="10" s="1"/>
  <c r="K778" i="10"/>
  <c r="N336" i="10"/>
  <c r="N334" i="10" s="1"/>
  <c r="J333" i="10"/>
  <c r="K333" i="10" s="1"/>
  <c r="K779" i="10"/>
  <c r="K784" i="10"/>
  <c r="Q118" i="10"/>
  <c r="L190" i="10"/>
  <c r="O190" i="10" s="1"/>
  <c r="O192" i="10"/>
  <c r="R96" i="1"/>
  <c r="U96" i="1" s="1"/>
  <c r="I157" i="8"/>
  <c r="K157" i="8" s="1"/>
  <c r="K710" i="9"/>
  <c r="M27" i="10"/>
  <c r="R45" i="10"/>
  <c r="U45" i="10" s="1"/>
  <c r="R60" i="10"/>
  <c r="U60" i="10" s="1"/>
  <c r="I84" i="10"/>
  <c r="Q98" i="10"/>
  <c r="T98" i="10" s="1"/>
  <c r="T100" i="10"/>
  <c r="O159" i="10"/>
  <c r="K250" i="10"/>
  <c r="L255" i="10"/>
  <c r="K782" i="6"/>
  <c r="M180" i="8"/>
  <c r="P180" i="8" s="1"/>
  <c r="K85" i="9"/>
  <c r="L189" i="9"/>
  <c r="L187" i="9" s="1"/>
  <c r="M517" i="9"/>
  <c r="P517" i="9" s="1"/>
  <c r="N24" i="10"/>
  <c r="N27" i="10"/>
  <c r="N25" i="10" s="1"/>
  <c r="K87" i="10"/>
  <c r="P103" i="10"/>
  <c r="P159" i="10"/>
  <c r="U163" i="10"/>
  <c r="R160" i="10"/>
  <c r="U160" i="10" s="1"/>
  <c r="N177" i="10"/>
  <c r="P177" i="10" s="1"/>
  <c r="O179" i="10"/>
  <c r="U284" i="10"/>
  <c r="R283" i="10"/>
  <c r="U283" i="10" s="1"/>
  <c r="Q497" i="10"/>
  <c r="T497" i="10" s="1"/>
  <c r="Q496" i="10"/>
  <c r="T499" i="10"/>
  <c r="K507" i="10"/>
  <c r="J504" i="10"/>
  <c r="J493" i="10" s="1"/>
  <c r="J676" i="6"/>
  <c r="K676" i="6" s="1"/>
  <c r="O166" i="8"/>
  <c r="S177" i="8"/>
  <c r="Q762" i="8"/>
  <c r="T762" i="8" s="1"/>
  <c r="M51" i="9"/>
  <c r="P51" i="9" s="1"/>
  <c r="L66" i="9"/>
  <c r="O66" i="9" s="1"/>
  <c r="R75" i="9"/>
  <c r="U75" i="9" s="1"/>
  <c r="L75" i="9"/>
  <c r="O75" i="9" s="1"/>
  <c r="L124" i="9"/>
  <c r="O124" i="9" s="1"/>
  <c r="R177" i="9"/>
  <c r="U177" i="9" s="1"/>
  <c r="Q189" i="9"/>
  <c r="J352" i="9"/>
  <c r="K679" i="9"/>
  <c r="Q25" i="10"/>
  <c r="T25" i="10" s="1"/>
  <c r="L48" i="10"/>
  <c r="N51" i="10"/>
  <c r="L63" i="10"/>
  <c r="O63" i="10" s="1"/>
  <c r="N66" i="10"/>
  <c r="L76" i="10"/>
  <c r="Q95" i="10"/>
  <c r="R161" i="10"/>
  <c r="U161" i="10" s="1"/>
  <c r="O163" i="10"/>
  <c r="L160" i="10"/>
  <c r="O160" i="10" s="1"/>
  <c r="L180" i="10"/>
  <c r="O180" i="10" s="1"/>
  <c r="L189" i="10"/>
  <c r="T192" i="10"/>
  <c r="Q189" i="10"/>
  <c r="L223" i="10"/>
  <c r="O223" i="10" s="1"/>
  <c r="O284" i="10"/>
  <c r="M310" i="10"/>
  <c r="P310" i="10" s="1"/>
  <c r="M306" i="10"/>
  <c r="P312" i="10"/>
  <c r="U377" i="10"/>
  <c r="O618" i="10"/>
  <c r="L617" i="10"/>
  <c r="O617" i="10" s="1"/>
  <c r="Q731" i="7"/>
  <c r="Q729" i="7" s="1"/>
  <c r="M66" i="9"/>
  <c r="P66" i="9" s="1"/>
  <c r="R76" i="9"/>
  <c r="U76" i="9" s="1"/>
  <c r="N142" i="9"/>
  <c r="N140" i="9" s="1"/>
  <c r="O312" i="9"/>
  <c r="L340" i="9"/>
  <c r="O340" i="9" s="1"/>
  <c r="N516" i="9"/>
  <c r="N514" i="9" s="1"/>
  <c r="R25" i="10"/>
  <c r="U25" i="10" s="1"/>
  <c r="M51" i="10"/>
  <c r="P51" i="10" s="1"/>
  <c r="P53" i="10"/>
  <c r="M47" i="10"/>
  <c r="M66" i="10"/>
  <c r="P66" i="10" s="1"/>
  <c r="P68" i="10"/>
  <c r="M62" i="10"/>
  <c r="P141" i="10"/>
  <c r="R190" i="10"/>
  <c r="U192" i="10"/>
  <c r="T268" i="10"/>
  <c r="N307" i="10"/>
  <c r="N306" i="10"/>
  <c r="N304" i="10" s="1"/>
  <c r="T323" i="10"/>
  <c r="Q321" i="10"/>
  <c r="T321" i="10" s="1"/>
  <c r="L376" i="10"/>
  <c r="O376" i="10" s="1"/>
  <c r="O377" i="10"/>
  <c r="K633" i="10"/>
  <c r="K631" i="10"/>
  <c r="K627" i="10"/>
  <c r="K630" i="10"/>
  <c r="K632" i="10"/>
  <c r="I616" i="10"/>
  <c r="K616" i="10" s="1"/>
  <c r="R731" i="7"/>
  <c r="R729" i="7" s="1"/>
  <c r="R161" i="8"/>
  <c r="U161" i="8" s="1"/>
  <c r="T499" i="8"/>
  <c r="K654" i="8"/>
  <c r="I138" i="9"/>
  <c r="K138" i="9" s="1"/>
  <c r="K655" i="9"/>
  <c r="Q24" i="10"/>
  <c r="Q75" i="10"/>
  <c r="U159" i="10"/>
  <c r="L176" i="10"/>
  <c r="K222" i="10"/>
  <c r="U557" i="10"/>
  <c r="R556" i="10"/>
  <c r="U556" i="10" s="1"/>
  <c r="Q307" i="10"/>
  <c r="T307" i="10" s="1"/>
  <c r="Q306" i="10"/>
  <c r="T309" i="10"/>
  <c r="T378" i="10"/>
  <c r="O415" i="10"/>
  <c r="L414" i="10"/>
  <c r="O414" i="10" s="1"/>
  <c r="I759" i="10"/>
  <c r="K759" i="10" s="1"/>
  <c r="K774" i="10"/>
  <c r="L235" i="10"/>
  <c r="P268" i="10"/>
  <c r="K293" i="10"/>
  <c r="I282" i="10"/>
  <c r="K282" i="10" s="1"/>
  <c r="L324" i="10"/>
  <c r="O324" i="10" s="1"/>
  <c r="O326" i="10"/>
  <c r="I375" i="10"/>
  <c r="K387" i="10"/>
  <c r="L520" i="10"/>
  <c r="O520" i="10" s="1"/>
  <c r="O522" i="10"/>
  <c r="U622" i="10"/>
  <c r="S620" i="10"/>
  <c r="U620" i="10" s="1"/>
  <c r="S619" i="10"/>
  <c r="S617" i="10" s="1"/>
  <c r="Q715" i="10"/>
  <c r="T715" i="10" s="1"/>
  <c r="T716" i="10"/>
  <c r="U761" i="10"/>
  <c r="R187" i="10"/>
  <c r="U187" i="10" s="1"/>
  <c r="M193" i="10"/>
  <c r="P193" i="10" s="1"/>
  <c r="K210" i="10"/>
  <c r="I203" i="10"/>
  <c r="K203" i="10" s="1"/>
  <c r="M269" i="10"/>
  <c r="M285" i="10"/>
  <c r="T305" i="10"/>
  <c r="M336" i="10"/>
  <c r="L337" i="10"/>
  <c r="O337" i="10" s="1"/>
  <c r="Q376" i="10"/>
  <c r="T376" i="10" s="1"/>
  <c r="T381" i="10"/>
  <c r="Q379" i="10"/>
  <c r="Q393" i="10"/>
  <c r="T393" i="10" s="1"/>
  <c r="O519" i="10"/>
  <c r="L516" i="10"/>
  <c r="Q283" i="10"/>
  <c r="T283" i="10" s="1"/>
  <c r="P322" i="10"/>
  <c r="L323" i="10"/>
  <c r="O323" i="10" s="1"/>
  <c r="P342" i="10"/>
  <c r="K345" i="10"/>
  <c r="U359" i="10"/>
  <c r="U618" i="10"/>
  <c r="M691" i="10"/>
  <c r="P691" i="10" s="1"/>
  <c r="P692" i="10"/>
  <c r="K281" i="10"/>
  <c r="S334" i="10"/>
  <c r="P337" i="10"/>
  <c r="P360" i="10"/>
  <c r="T419" i="10"/>
  <c r="Q416" i="10"/>
  <c r="T416" i="10" s="1"/>
  <c r="Q417" i="10"/>
  <c r="T417" i="10" s="1"/>
  <c r="L494" i="10"/>
  <c r="O494" i="10" s="1"/>
  <c r="L643" i="10"/>
  <c r="O643" i="10" s="1"/>
  <c r="O645" i="10"/>
  <c r="L760" i="10"/>
  <c r="O760" i="10" s="1"/>
  <c r="O761" i="10"/>
  <c r="P731" i="10"/>
  <c r="M729" i="10"/>
  <c r="P729" i="10" s="1"/>
  <c r="R269" i="10"/>
  <c r="P358" i="10"/>
  <c r="M359" i="10"/>
  <c r="P515" i="10"/>
  <c r="R694" i="10"/>
  <c r="U696" i="10"/>
  <c r="P717" i="10"/>
  <c r="M715" i="10"/>
  <c r="P715" i="10" s="1"/>
  <c r="Q729" i="10"/>
  <c r="T730" i="10"/>
  <c r="N556" i="10"/>
  <c r="M323" i="10"/>
  <c r="P323" i="10" s="1"/>
  <c r="M600" i="10"/>
  <c r="P600" i="10" s="1"/>
  <c r="T622" i="10"/>
  <c r="Q619" i="10"/>
  <c r="Q617" i="10" s="1"/>
  <c r="Q620" i="10"/>
  <c r="M643" i="10"/>
  <c r="P643" i="10" s="1"/>
  <c r="S643" i="10"/>
  <c r="O693" i="10"/>
  <c r="K727" i="10"/>
  <c r="M520" i="10"/>
  <c r="P520" i="10" s="1"/>
  <c r="P522" i="10"/>
  <c r="M516" i="10"/>
  <c r="P516" i="10" s="1"/>
  <c r="Q600" i="10"/>
  <c r="T600" i="10" s="1"/>
  <c r="Q691" i="10"/>
  <c r="R731" i="10"/>
  <c r="Q140" i="9"/>
  <c r="T140" i="9" s="1"/>
  <c r="T142" i="9"/>
  <c r="N124" i="9"/>
  <c r="N120" i="9"/>
  <c r="N118" i="9" s="1"/>
  <c r="S189" i="7"/>
  <c r="S187" i="7" s="1"/>
  <c r="K778" i="7"/>
  <c r="K781" i="7"/>
  <c r="J676" i="8"/>
  <c r="I320" i="9"/>
  <c r="K320" i="9" s="1"/>
  <c r="K331" i="9"/>
  <c r="R378" i="9"/>
  <c r="U378" i="9" s="1"/>
  <c r="U381" i="9"/>
  <c r="I241" i="7"/>
  <c r="K241" i="7" s="1"/>
  <c r="U622" i="8"/>
  <c r="S643" i="8"/>
  <c r="S646" i="8"/>
  <c r="L97" i="9"/>
  <c r="O97" i="9" s="1"/>
  <c r="S120" i="9"/>
  <c r="S118" i="9" s="1"/>
  <c r="S306" i="9"/>
  <c r="T306" i="9" s="1"/>
  <c r="O309" i="9"/>
  <c r="L306" i="9"/>
  <c r="O306" i="9" s="1"/>
  <c r="L327" i="9"/>
  <c r="O327" i="9" s="1"/>
  <c r="O329" i="9"/>
  <c r="L359" i="9"/>
  <c r="L357" i="9" s="1"/>
  <c r="R190" i="9"/>
  <c r="U190" i="9" s="1"/>
  <c r="R189" i="9"/>
  <c r="R187" i="9" s="1"/>
  <c r="R646" i="9"/>
  <c r="U646" i="9" s="1"/>
  <c r="R645" i="9"/>
  <c r="T76" i="8"/>
  <c r="K199" i="8"/>
  <c r="I214" i="8"/>
  <c r="K214" i="8" s="1"/>
  <c r="P339" i="8"/>
  <c r="I493" i="8"/>
  <c r="K493" i="8" s="1"/>
  <c r="T648" i="8"/>
  <c r="P329" i="9"/>
  <c r="M327" i="9"/>
  <c r="P327" i="9" s="1"/>
  <c r="R497" i="9"/>
  <c r="U497" i="9" s="1"/>
  <c r="U499" i="9"/>
  <c r="R496" i="9"/>
  <c r="U496" i="9" s="1"/>
  <c r="N176" i="7"/>
  <c r="N174" i="7" s="1"/>
  <c r="O179" i="8"/>
  <c r="L180" i="8"/>
  <c r="O180" i="8" s="1"/>
  <c r="P103" i="9"/>
  <c r="M101" i="9"/>
  <c r="P101" i="9" s="1"/>
  <c r="L146" i="9"/>
  <c r="O146" i="9" s="1"/>
  <c r="O148" i="9"/>
  <c r="N177" i="9"/>
  <c r="P177" i="9" s="1"/>
  <c r="N176" i="9"/>
  <c r="N174" i="9" s="1"/>
  <c r="P275" i="9"/>
  <c r="M273" i="9"/>
  <c r="P273" i="9" s="1"/>
  <c r="N324" i="9"/>
  <c r="N323" i="9"/>
  <c r="N321" i="9" s="1"/>
  <c r="P342" i="9"/>
  <c r="M340" i="9"/>
  <c r="P340" i="9" s="1"/>
  <c r="S694" i="9"/>
  <c r="S693" i="9"/>
  <c r="S691" i="9" s="1"/>
  <c r="M48" i="9"/>
  <c r="M47" i="9"/>
  <c r="M45" i="9" s="1"/>
  <c r="Q143" i="9"/>
  <c r="T143" i="9" s="1"/>
  <c r="T145" i="9"/>
  <c r="P360" i="8"/>
  <c r="L24" i="9"/>
  <c r="L22" i="9" s="1"/>
  <c r="L48" i="9"/>
  <c r="T100" i="9"/>
  <c r="Q98" i="9"/>
  <c r="Q97" i="9"/>
  <c r="P126" i="9"/>
  <c r="M124" i="9"/>
  <c r="P124" i="9" s="1"/>
  <c r="M146" i="9"/>
  <c r="P146" i="9" s="1"/>
  <c r="M142" i="9"/>
  <c r="P142" i="9" s="1"/>
  <c r="P148" i="9"/>
  <c r="N161" i="9"/>
  <c r="N160" i="9"/>
  <c r="N158" i="9" s="1"/>
  <c r="L255" i="9"/>
  <c r="O255" i="9" s="1"/>
  <c r="L215" i="9"/>
  <c r="O215" i="9" s="1"/>
  <c r="N269" i="9"/>
  <c r="N267" i="9" s="1"/>
  <c r="I375" i="9"/>
  <c r="M27" i="9"/>
  <c r="P27" i="9" s="1"/>
  <c r="M336" i="9"/>
  <c r="M334" i="9" s="1"/>
  <c r="K677" i="9"/>
  <c r="R732" i="9"/>
  <c r="S98" i="9"/>
  <c r="U98" i="9" s="1"/>
  <c r="T696" i="9"/>
  <c r="M75" i="9"/>
  <c r="P75" i="9" s="1"/>
  <c r="O179" i="9"/>
  <c r="L180" i="9"/>
  <c r="O180" i="9" s="1"/>
  <c r="T192" i="9"/>
  <c r="T309" i="9"/>
  <c r="K366" i="9"/>
  <c r="K674" i="9"/>
  <c r="K783" i="9"/>
  <c r="L177" i="8"/>
  <c r="O177" i="8" s="1"/>
  <c r="T272" i="8"/>
  <c r="O360" i="8"/>
  <c r="K706" i="8"/>
  <c r="K728" i="8"/>
  <c r="R24" i="9"/>
  <c r="L51" i="9"/>
  <c r="O51" i="9" s="1"/>
  <c r="N62" i="9"/>
  <c r="N60" i="9" s="1"/>
  <c r="R97" i="9"/>
  <c r="U97" i="9" s="1"/>
  <c r="P100" i="9"/>
  <c r="M98" i="9"/>
  <c r="P98" i="9" s="1"/>
  <c r="U100" i="9"/>
  <c r="O166" i="9"/>
  <c r="L164" i="9"/>
  <c r="O164" i="9" s="1"/>
  <c r="K221" i="9"/>
  <c r="I214" i="9"/>
  <c r="K214" i="9" s="1"/>
  <c r="O291" i="9"/>
  <c r="P312" i="9"/>
  <c r="P326" i="9"/>
  <c r="M324" i="9"/>
  <c r="P324" i="9" s="1"/>
  <c r="S620" i="9"/>
  <c r="S619" i="9"/>
  <c r="S617" i="9" s="1"/>
  <c r="Q763" i="9"/>
  <c r="Q762" i="9"/>
  <c r="T762" i="9" s="1"/>
  <c r="T765" i="9"/>
  <c r="M204" i="1"/>
  <c r="O145" i="8"/>
  <c r="Q177" i="8"/>
  <c r="T177" i="8" s="1"/>
  <c r="L193" i="8"/>
  <c r="O193" i="8" s="1"/>
  <c r="U270" i="8"/>
  <c r="S379" i="8"/>
  <c r="R620" i="8"/>
  <c r="S24" i="9"/>
  <c r="S21" i="9" s="1"/>
  <c r="S19" i="9" s="1"/>
  <c r="L27" i="9"/>
  <c r="N75" i="9"/>
  <c r="N73" i="9" s="1"/>
  <c r="O78" i="9"/>
  <c r="L79" i="9"/>
  <c r="O79" i="9" s="1"/>
  <c r="M97" i="9"/>
  <c r="P97" i="9" s="1"/>
  <c r="O163" i="9"/>
  <c r="L160" i="9"/>
  <c r="J676" i="9"/>
  <c r="K676" i="9" s="1"/>
  <c r="L62" i="8"/>
  <c r="L60" i="8" s="1"/>
  <c r="I170" i="8"/>
  <c r="K170" i="8" s="1"/>
  <c r="L76" i="9"/>
  <c r="O76" i="9" s="1"/>
  <c r="N97" i="9"/>
  <c r="N95" i="9" s="1"/>
  <c r="O100" i="9"/>
  <c r="R143" i="9"/>
  <c r="U143" i="9" s="1"/>
  <c r="R142" i="9"/>
  <c r="U142" i="9" s="1"/>
  <c r="I137" i="9"/>
  <c r="K137" i="9" s="1"/>
  <c r="K155" i="9"/>
  <c r="S189" i="9"/>
  <c r="S187" i="9" s="1"/>
  <c r="I239" i="9"/>
  <c r="K239" i="9" s="1"/>
  <c r="K250" i="9"/>
  <c r="L337" i="9"/>
  <c r="L336" i="9"/>
  <c r="L334" i="9" s="1"/>
  <c r="M324" i="3"/>
  <c r="P324" i="3" s="1"/>
  <c r="R762" i="7"/>
  <c r="U762" i="7" s="1"/>
  <c r="J344" i="8"/>
  <c r="L142" i="9"/>
  <c r="L143" i="9"/>
  <c r="O143" i="9" s="1"/>
  <c r="P182" i="9"/>
  <c r="M180" i="9"/>
  <c r="P180" i="9" s="1"/>
  <c r="I266" i="9"/>
  <c r="K266" i="9" s="1"/>
  <c r="R306" i="9"/>
  <c r="R304" i="9" s="1"/>
  <c r="K315" i="9"/>
  <c r="I303" i="9"/>
  <c r="K303" i="9" s="1"/>
  <c r="P323" i="9"/>
  <c r="M321" i="9"/>
  <c r="P321" i="9" s="1"/>
  <c r="P362" i="9"/>
  <c r="O362" i="9"/>
  <c r="N360" i="9"/>
  <c r="P360" i="9" s="1"/>
  <c r="S95" i="9"/>
  <c r="L273" i="9"/>
  <c r="O273" i="9" s="1"/>
  <c r="L269" i="9"/>
  <c r="O269" i="9" s="1"/>
  <c r="L121" i="8"/>
  <c r="O121" i="8" s="1"/>
  <c r="S143" i="8"/>
  <c r="L176" i="8"/>
  <c r="L174" i="8" s="1"/>
  <c r="N269" i="8"/>
  <c r="N267" i="8" s="1"/>
  <c r="M520" i="8"/>
  <c r="P520" i="8" s="1"/>
  <c r="R693" i="8"/>
  <c r="R691" i="8" s="1"/>
  <c r="T696" i="8"/>
  <c r="S75" i="9"/>
  <c r="S73" i="9" s="1"/>
  <c r="T78" i="9"/>
  <c r="U123" i="9"/>
  <c r="R121" i="9"/>
  <c r="U121" i="9" s="1"/>
  <c r="M176" i="9"/>
  <c r="P179" i="9"/>
  <c r="L235" i="9"/>
  <c r="R694" i="9"/>
  <c r="U696" i="9"/>
  <c r="R693" i="9"/>
  <c r="P145" i="9"/>
  <c r="T190" i="9"/>
  <c r="O190" i="9"/>
  <c r="L236" i="9"/>
  <c r="O288" i="9"/>
  <c r="P291" i="9"/>
  <c r="K458" i="9"/>
  <c r="S496" i="9"/>
  <c r="S494" i="9" s="1"/>
  <c r="U648" i="9"/>
  <c r="K690" i="9"/>
  <c r="K708" i="9"/>
  <c r="K779" i="9"/>
  <c r="K785" i="9"/>
  <c r="K230" i="9"/>
  <c r="O272" i="9"/>
  <c r="L285" i="9"/>
  <c r="L286" i="9"/>
  <c r="K370" i="9"/>
  <c r="U622" i="9"/>
  <c r="K682" i="9"/>
  <c r="O103" i="9"/>
  <c r="L120" i="9"/>
  <c r="O120" i="9" s="1"/>
  <c r="L121" i="9"/>
  <c r="O121" i="9" s="1"/>
  <c r="P123" i="9"/>
  <c r="L176" i="9"/>
  <c r="L223" i="9"/>
  <c r="O223" i="9" s="1"/>
  <c r="Q307" i="9"/>
  <c r="T307" i="9" s="1"/>
  <c r="N359" i="9"/>
  <c r="N357" i="9" s="1"/>
  <c r="R379" i="9"/>
  <c r="U379" i="9" s="1"/>
  <c r="K387" i="9"/>
  <c r="S645" i="9"/>
  <c r="S643" i="9" s="1"/>
  <c r="T648" i="9"/>
  <c r="M120" i="9"/>
  <c r="L204" i="9"/>
  <c r="O204" i="9" s="1"/>
  <c r="L244" i="9"/>
  <c r="O244" i="9" s="1"/>
  <c r="T270" i="9"/>
  <c r="M24" i="9"/>
  <c r="M22" i="9" s="1"/>
  <c r="K680" i="9"/>
  <c r="K704" i="9"/>
  <c r="K778" i="9"/>
  <c r="K781" i="9"/>
  <c r="K784" i="9"/>
  <c r="P166" i="8"/>
  <c r="M164" i="8"/>
  <c r="P164" i="8" s="1"/>
  <c r="S189" i="8"/>
  <c r="S187" i="8" s="1"/>
  <c r="S190" i="8"/>
  <c r="T190" i="8" s="1"/>
  <c r="N340" i="8"/>
  <c r="N336" i="8"/>
  <c r="N334" i="8" s="1"/>
  <c r="L517" i="8"/>
  <c r="O517" i="8" s="1"/>
  <c r="L516" i="8"/>
  <c r="O516" i="8" s="1"/>
  <c r="U46" i="9"/>
  <c r="R45" i="9"/>
  <c r="U45" i="9" s="1"/>
  <c r="U61" i="9"/>
  <c r="R60" i="9"/>
  <c r="U60" i="9" s="1"/>
  <c r="Q177" i="9"/>
  <c r="T177" i="9" s="1"/>
  <c r="T179" i="9"/>
  <c r="Q176" i="9"/>
  <c r="O188" i="9"/>
  <c r="T415" i="9"/>
  <c r="Q414" i="9"/>
  <c r="T414" i="9" s="1"/>
  <c r="M324" i="5"/>
  <c r="P324" i="5" s="1"/>
  <c r="J375" i="7"/>
  <c r="J676" i="7"/>
  <c r="L51" i="8"/>
  <c r="O51" i="8" s="1"/>
  <c r="L66" i="8"/>
  <c r="O66" i="8" s="1"/>
  <c r="Q75" i="8"/>
  <c r="Q73" i="8" s="1"/>
  <c r="K293" i="8"/>
  <c r="I282" i="8"/>
  <c r="K282" i="8" s="1"/>
  <c r="T26" i="9"/>
  <c r="Q25" i="9"/>
  <c r="T25" i="9" s="1"/>
  <c r="U74" i="9"/>
  <c r="Q24" i="9"/>
  <c r="P96" i="9"/>
  <c r="Q161" i="9"/>
  <c r="T161" i="9" s="1"/>
  <c r="T163" i="9"/>
  <c r="Q160" i="9"/>
  <c r="I157" i="9"/>
  <c r="K157" i="9" s="1"/>
  <c r="K170" i="9"/>
  <c r="I196" i="9"/>
  <c r="K196" i="9" s="1"/>
  <c r="N337" i="9"/>
  <c r="N336" i="9"/>
  <c r="N334" i="9" s="1"/>
  <c r="O339" i="9"/>
  <c r="Q379" i="9"/>
  <c r="T379" i="9" s="1"/>
  <c r="T381" i="9"/>
  <c r="Q378" i="9"/>
  <c r="Q376" i="9" s="1"/>
  <c r="K507" i="9"/>
  <c r="J504" i="9"/>
  <c r="J493" i="9" s="1"/>
  <c r="M66" i="7"/>
  <c r="P66" i="7" s="1"/>
  <c r="I157" i="7"/>
  <c r="K157" i="7" s="1"/>
  <c r="M51" i="8"/>
  <c r="P51" i="8" s="1"/>
  <c r="L79" i="8"/>
  <c r="O79" i="8" s="1"/>
  <c r="S97" i="8"/>
  <c r="S95" i="8" s="1"/>
  <c r="S98" i="8"/>
  <c r="S160" i="8"/>
  <c r="S158" i="8" s="1"/>
  <c r="S161" i="8"/>
  <c r="M176" i="8"/>
  <c r="M174" i="8" s="1"/>
  <c r="M177" i="8"/>
  <c r="P177" i="8" s="1"/>
  <c r="P365" i="8"/>
  <c r="M363" i="8"/>
  <c r="P363" i="8" s="1"/>
  <c r="Q379" i="8"/>
  <c r="Q378" i="8"/>
  <c r="T378" i="8" s="1"/>
  <c r="O46" i="9"/>
  <c r="O61" i="9"/>
  <c r="P268" i="9"/>
  <c r="U359" i="9"/>
  <c r="R357" i="9"/>
  <c r="U357" i="9" s="1"/>
  <c r="K504" i="9"/>
  <c r="I493" i="9"/>
  <c r="K493" i="9" s="1"/>
  <c r="L97" i="8"/>
  <c r="O97" i="8" s="1"/>
  <c r="O272" i="8"/>
  <c r="L270" i="8"/>
  <c r="O270" i="8" s="1"/>
  <c r="O519" i="8"/>
  <c r="P50" i="9"/>
  <c r="P65" i="9"/>
  <c r="O74" i="9"/>
  <c r="M307" i="9"/>
  <c r="P307" i="9" s="1"/>
  <c r="P309" i="9"/>
  <c r="M306" i="9"/>
  <c r="P306" i="9" s="1"/>
  <c r="N120" i="7"/>
  <c r="N118" i="7" s="1"/>
  <c r="P161" i="8"/>
  <c r="K370" i="8"/>
  <c r="T23" i="9"/>
  <c r="N48" i="9"/>
  <c r="O50" i="9"/>
  <c r="N24" i="9"/>
  <c r="N63" i="9"/>
  <c r="O65" i="9"/>
  <c r="K210" i="9"/>
  <c r="I203" i="9"/>
  <c r="K203" i="9" s="1"/>
  <c r="S417" i="9"/>
  <c r="S416" i="9"/>
  <c r="S414" i="9" s="1"/>
  <c r="M285" i="7"/>
  <c r="M283" i="7" s="1"/>
  <c r="K110" i="8"/>
  <c r="I94" i="8"/>
  <c r="K94" i="8" s="1"/>
  <c r="P126" i="8"/>
  <c r="M124" i="8"/>
  <c r="P124" i="8" s="1"/>
  <c r="U179" i="8"/>
  <c r="R177" i="8"/>
  <c r="U177" i="8" s="1"/>
  <c r="P195" i="8"/>
  <c r="M193" i="8"/>
  <c r="P193" i="8" s="1"/>
  <c r="N323" i="8"/>
  <c r="N321" i="8" s="1"/>
  <c r="N327" i="8"/>
  <c r="K110" i="9"/>
  <c r="I94" i="9"/>
  <c r="K94" i="9" s="1"/>
  <c r="M190" i="9"/>
  <c r="P190" i="9" s="1"/>
  <c r="P192" i="9"/>
  <c r="M189" i="9"/>
  <c r="M187" i="9" s="1"/>
  <c r="O284" i="9"/>
  <c r="J344" i="9"/>
  <c r="J333" i="9"/>
  <c r="K333" i="9" s="1"/>
  <c r="L124" i="8"/>
  <c r="O124" i="8" s="1"/>
  <c r="U145" i="8"/>
  <c r="O161" i="8"/>
  <c r="L237" i="8"/>
  <c r="L324" i="8"/>
  <c r="O324" i="8" s="1"/>
  <c r="T645" i="8"/>
  <c r="Q694" i="8"/>
  <c r="U734" i="8"/>
  <c r="N27" i="9"/>
  <c r="N25" i="9" s="1"/>
  <c r="Q45" i="9"/>
  <c r="T45" i="9" s="1"/>
  <c r="Q60" i="9"/>
  <c r="T60" i="9" s="1"/>
  <c r="Q73" i="9"/>
  <c r="T73" i="9" s="1"/>
  <c r="Q76" i="9"/>
  <c r="T76" i="9" s="1"/>
  <c r="P188" i="9"/>
  <c r="U192" i="9"/>
  <c r="M193" i="9"/>
  <c r="P193" i="9" s="1"/>
  <c r="P195" i="9"/>
  <c r="P284" i="9"/>
  <c r="N306" i="9"/>
  <c r="N304" i="9" s="1"/>
  <c r="U309" i="9"/>
  <c r="O322" i="9"/>
  <c r="K345" i="9"/>
  <c r="Q176" i="8"/>
  <c r="U192" i="8"/>
  <c r="L236" i="8"/>
  <c r="O339" i="8"/>
  <c r="J703" i="8"/>
  <c r="P78" i="9"/>
  <c r="P81" i="9"/>
  <c r="I84" i="9"/>
  <c r="Q121" i="9"/>
  <c r="T121" i="9" s="1"/>
  <c r="T123" i="9"/>
  <c r="R160" i="9"/>
  <c r="R176" i="9"/>
  <c r="N189" i="9"/>
  <c r="O192" i="9"/>
  <c r="K261" i="9"/>
  <c r="I254" i="9"/>
  <c r="K294" i="9"/>
  <c r="N307" i="9"/>
  <c r="O326" i="9"/>
  <c r="L323" i="9"/>
  <c r="O323" i="9" s="1"/>
  <c r="K372" i="9"/>
  <c r="T618" i="9"/>
  <c r="T622" i="8"/>
  <c r="K655" i="8"/>
  <c r="Q118" i="9"/>
  <c r="P272" i="9"/>
  <c r="M270" i="9"/>
  <c r="P270" i="9" s="1"/>
  <c r="M269" i="9"/>
  <c r="M286" i="9"/>
  <c r="P288" i="9"/>
  <c r="M285" i="9"/>
  <c r="N363" i="9"/>
  <c r="L363" i="9"/>
  <c r="O363" i="9" s="1"/>
  <c r="O365" i="9"/>
  <c r="U394" i="9"/>
  <c r="R393" i="9"/>
  <c r="U393" i="9" s="1"/>
  <c r="R142" i="8"/>
  <c r="U142" i="8" s="1"/>
  <c r="O163" i="8"/>
  <c r="P307" i="8"/>
  <c r="L47" i="9"/>
  <c r="L62" i="9"/>
  <c r="R120" i="9"/>
  <c r="P141" i="9"/>
  <c r="L161" i="9"/>
  <c r="O161" i="9" s="1"/>
  <c r="L177" i="9"/>
  <c r="U188" i="9"/>
  <c r="P365" i="9"/>
  <c r="M359" i="9"/>
  <c r="M363" i="9"/>
  <c r="P363" i="9" s="1"/>
  <c r="T419" i="9"/>
  <c r="Q417" i="9"/>
  <c r="T417" i="9" s="1"/>
  <c r="O519" i="9"/>
  <c r="L517" i="9"/>
  <c r="O517" i="9" s="1"/>
  <c r="L516" i="9"/>
  <c r="U123" i="8"/>
  <c r="M189" i="8"/>
  <c r="M187" i="8" s="1"/>
  <c r="I375" i="8"/>
  <c r="P339" i="9"/>
  <c r="M337" i="9"/>
  <c r="P416" i="9"/>
  <c r="M414" i="9"/>
  <c r="P414" i="9" s="1"/>
  <c r="U419" i="9"/>
  <c r="R416" i="9"/>
  <c r="R417" i="9"/>
  <c r="U417" i="9" s="1"/>
  <c r="U618" i="9"/>
  <c r="R283" i="9"/>
  <c r="U283" i="9" s="1"/>
  <c r="K347" i="9"/>
  <c r="S378" i="9"/>
  <c r="S376" i="9" s="1"/>
  <c r="N393" i="9"/>
  <c r="I424" i="9"/>
  <c r="P496" i="9"/>
  <c r="M494" i="9"/>
  <c r="P494" i="9" s="1"/>
  <c r="O557" i="9"/>
  <c r="L556" i="9"/>
  <c r="O556" i="9" s="1"/>
  <c r="O579" i="9"/>
  <c r="L577" i="9"/>
  <c r="O577" i="9" s="1"/>
  <c r="R334" i="9"/>
  <c r="U334" i="9" s="1"/>
  <c r="P557" i="9"/>
  <c r="M556" i="9"/>
  <c r="P556" i="9" s="1"/>
  <c r="T692" i="9"/>
  <c r="Q321" i="9"/>
  <c r="T321" i="9" s="1"/>
  <c r="Q393" i="9"/>
  <c r="T393" i="9" s="1"/>
  <c r="T495" i="9"/>
  <c r="N520" i="9"/>
  <c r="L520" i="9"/>
  <c r="O520" i="9" s="1"/>
  <c r="O522" i="9"/>
  <c r="S731" i="9"/>
  <c r="S729" i="9" s="1"/>
  <c r="U729" i="9" s="1"/>
  <c r="U734" i="9"/>
  <c r="S732" i="9"/>
  <c r="L494" i="9"/>
  <c r="O494" i="9" s="1"/>
  <c r="M520" i="9"/>
  <c r="P520" i="9" s="1"/>
  <c r="P522" i="9"/>
  <c r="M516" i="9"/>
  <c r="P516" i="9" s="1"/>
  <c r="U557" i="9"/>
  <c r="R556" i="9"/>
  <c r="U556" i="9" s="1"/>
  <c r="O618" i="9"/>
  <c r="L617" i="9"/>
  <c r="O617" i="9" s="1"/>
  <c r="T622" i="9"/>
  <c r="Q619" i="9"/>
  <c r="Q620" i="9"/>
  <c r="K633" i="9"/>
  <c r="K632" i="9"/>
  <c r="K631" i="9"/>
  <c r="K627" i="9"/>
  <c r="T644" i="9"/>
  <c r="K662" i="9"/>
  <c r="I759" i="9"/>
  <c r="K759" i="9" s="1"/>
  <c r="K774" i="9"/>
  <c r="K782" i="9"/>
  <c r="Q535" i="9"/>
  <c r="T535" i="9" s="1"/>
  <c r="S556" i="9"/>
  <c r="Q600" i="9"/>
  <c r="T600" i="9" s="1"/>
  <c r="K780" i="9"/>
  <c r="Q731" i="9"/>
  <c r="T734" i="9"/>
  <c r="R762" i="9"/>
  <c r="U762" i="9" s="1"/>
  <c r="U765" i="9"/>
  <c r="R620" i="9"/>
  <c r="Q646" i="9"/>
  <c r="T646" i="9" s="1"/>
  <c r="Q694" i="9"/>
  <c r="I702" i="9"/>
  <c r="M617" i="9"/>
  <c r="P617" i="9" s="1"/>
  <c r="L643" i="9"/>
  <c r="O643" i="9" s="1"/>
  <c r="L691" i="9"/>
  <c r="O691" i="9" s="1"/>
  <c r="R619" i="9"/>
  <c r="Q645" i="9"/>
  <c r="Q693" i="9"/>
  <c r="I758" i="9"/>
  <c r="K758" i="9" s="1"/>
  <c r="M121" i="8"/>
  <c r="P121" i="8" s="1"/>
  <c r="L120" i="8"/>
  <c r="O120" i="8" s="1"/>
  <c r="L204" i="8"/>
  <c r="O204" i="8" s="1"/>
  <c r="Q306" i="8"/>
  <c r="T306" i="8" s="1"/>
  <c r="M324" i="8"/>
  <c r="P324" i="8" s="1"/>
  <c r="T381" i="8"/>
  <c r="T419" i="8"/>
  <c r="O522" i="8"/>
  <c r="K704" i="8"/>
  <c r="I758" i="8"/>
  <c r="K758" i="8" s="1"/>
  <c r="S143" i="7"/>
  <c r="P145" i="7"/>
  <c r="M98" i="8"/>
  <c r="P98" i="8" s="1"/>
  <c r="Q121" i="8"/>
  <c r="T121" i="8" s="1"/>
  <c r="L189" i="8"/>
  <c r="L187" i="8" s="1"/>
  <c r="L285" i="8"/>
  <c r="L283" i="8" s="1"/>
  <c r="O291" i="8"/>
  <c r="L340" i="8"/>
  <c r="O340" i="8" s="1"/>
  <c r="K347" i="8"/>
  <c r="K369" i="8"/>
  <c r="M517" i="8"/>
  <c r="P517" i="8" s="1"/>
  <c r="J702" i="8"/>
  <c r="S619" i="5"/>
  <c r="S617" i="5" s="1"/>
  <c r="T620" i="5"/>
  <c r="L310" i="6"/>
  <c r="O310" i="6" s="1"/>
  <c r="M340" i="7"/>
  <c r="P340" i="7" s="1"/>
  <c r="L101" i="8"/>
  <c r="O101" i="8" s="1"/>
  <c r="L160" i="8"/>
  <c r="L158" i="8" s="1"/>
  <c r="N270" i="8"/>
  <c r="Q306" i="6"/>
  <c r="Q304" i="6" s="1"/>
  <c r="S416" i="7"/>
  <c r="S414" i="7" s="1"/>
  <c r="N516" i="7"/>
  <c r="N514" i="7" s="1"/>
  <c r="Q693" i="7"/>
  <c r="Q691" i="7" s="1"/>
  <c r="M47" i="8"/>
  <c r="M45" i="8" s="1"/>
  <c r="O65" i="8"/>
  <c r="P145" i="8"/>
  <c r="N160" i="8"/>
  <c r="N158" i="8" s="1"/>
  <c r="O337" i="8"/>
  <c r="J703" i="7"/>
  <c r="M27" i="8"/>
  <c r="M25" i="8" s="1"/>
  <c r="P25" i="8" s="1"/>
  <c r="P65" i="8"/>
  <c r="O143" i="8"/>
  <c r="M190" i="8"/>
  <c r="L223" i="8"/>
  <c r="O223" i="8" s="1"/>
  <c r="M337" i="8"/>
  <c r="P337" i="8" s="1"/>
  <c r="J333" i="8"/>
  <c r="K372" i="8"/>
  <c r="Q416" i="8"/>
  <c r="T416" i="8" s="1"/>
  <c r="S620" i="8"/>
  <c r="R645" i="8"/>
  <c r="U645" i="8" s="1"/>
  <c r="U696" i="8"/>
  <c r="K778" i="8"/>
  <c r="K781" i="8"/>
  <c r="K784" i="8"/>
  <c r="T496" i="8"/>
  <c r="Q494" i="8"/>
  <c r="T494" i="8" s="1"/>
  <c r="P76" i="8"/>
  <c r="L98" i="6"/>
  <c r="O98" i="6" s="1"/>
  <c r="P360" i="7"/>
  <c r="T765" i="7"/>
  <c r="L47" i="8"/>
  <c r="R98" i="8"/>
  <c r="U98" i="8" s="1"/>
  <c r="P103" i="8"/>
  <c r="R121" i="8"/>
  <c r="U121" i="8" s="1"/>
  <c r="T123" i="8"/>
  <c r="S140" i="8"/>
  <c r="R174" i="8"/>
  <c r="U174" i="8" s="1"/>
  <c r="R190" i="8"/>
  <c r="P291" i="8"/>
  <c r="O307" i="8"/>
  <c r="M310" i="8"/>
  <c r="P310" i="8" s="1"/>
  <c r="I320" i="8"/>
  <c r="K320" i="8" s="1"/>
  <c r="M323" i="8"/>
  <c r="P323" i="8" s="1"/>
  <c r="P329" i="8"/>
  <c r="Q497" i="8"/>
  <c r="T497" i="8" s="1"/>
  <c r="S763" i="8"/>
  <c r="U763" i="8" s="1"/>
  <c r="N62" i="7"/>
  <c r="N60" i="7" s="1"/>
  <c r="S160" i="7"/>
  <c r="S158" i="7" s="1"/>
  <c r="M289" i="7"/>
  <c r="P289" i="7" s="1"/>
  <c r="K780" i="7"/>
  <c r="M66" i="8"/>
  <c r="P66" i="8" s="1"/>
  <c r="R97" i="8"/>
  <c r="T100" i="8"/>
  <c r="R120" i="8"/>
  <c r="R118" i="8" s="1"/>
  <c r="M160" i="8"/>
  <c r="M158" i="8" s="1"/>
  <c r="P163" i="8"/>
  <c r="U163" i="8"/>
  <c r="S174" i="8"/>
  <c r="Q189" i="8"/>
  <c r="T192" i="8"/>
  <c r="K196" i="8"/>
  <c r="I203" i="8"/>
  <c r="K203" i="8" s="1"/>
  <c r="K294" i="8"/>
  <c r="P309" i="8"/>
  <c r="O312" i="8"/>
  <c r="S416" i="8"/>
  <c r="S414" i="8" s="1"/>
  <c r="J675" i="8"/>
  <c r="T765" i="8"/>
  <c r="K779" i="8"/>
  <c r="K782" i="8"/>
  <c r="K785" i="8"/>
  <c r="M121" i="7"/>
  <c r="P121" i="7" s="1"/>
  <c r="N177" i="7"/>
  <c r="P192" i="7"/>
  <c r="I303" i="7"/>
  <c r="K303" i="7" s="1"/>
  <c r="L336" i="7"/>
  <c r="L334" i="7" s="1"/>
  <c r="M24" i="8"/>
  <c r="N47" i="8"/>
  <c r="N45" i="8" s="1"/>
  <c r="N75" i="8"/>
  <c r="N73" i="8" s="1"/>
  <c r="R189" i="8"/>
  <c r="I457" i="8"/>
  <c r="K457" i="8" s="1"/>
  <c r="I616" i="8"/>
  <c r="K616" i="8" s="1"/>
  <c r="Q619" i="8"/>
  <c r="Q617" i="8" s="1"/>
  <c r="Q620" i="8"/>
  <c r="Q643" i="8"/>
  <c r="K632" i="8"/>
  <c r="P177" i="6"/>
  <c r="I83" i="7"/>
  <c r="I71" i="7" s="1"/>
  <c r="K71" i="7" s="1"/>
  <c r="L236" i="7"/>
  <c r="I320" i="7"/>
  <c r="K320" i="7" s="1"/>
  <c r="S75" i="8"/>
  <c r="M146" i="8"/>
  <c r="P146" i="8" s="1"/>
  <c r="I242" i="8"/>
  <c r="K242" i="8" s="1"/>
  <c r="U272" i="8"/>
  <c r="M359" i="8"/>
  <c r="M357" i="8" s="1"/>
  <c r="I424" i="8"/>
  <c r="I413" i="8" s="1"/>
  <c r="K413" i="8" s="1"/>
  <c r="M516" i="8"/>
  <c r="P516" i="8" s="1"/>
  <c r="U619" i="8"/>
  <c r="K627" i="8"/>
  <c r="U648" i="8"/>
  <c r="S694" i="8"/>
  <c r="K710" i="8"/>
  <c r="L235" i="7"/>
  <c r="P519" i="7"/>
  <c r="O76" i="8"/>
  <c r="P78" i="8"/>
  <c r="M143" i="8"/>
  <c r="P143" i="8" s="1"/>
  <c r="K633" i="8"/>
  <c r="I702" i="8"/>
  <c r="K783" i="8"/>
  <c r="P76" i="7"/>
  <c r="N98" i="8"/>
  <c r="N97" i="8"/>
  <c r="N95" i="8" s="1"/>
  <c r="N121" i="8"/>
  <c r="N120" i="8"/>
  <c r="N118" i="8" s="1"/>
  <c r="N189" i="8"/>
  <c r="P192" i="8"/>
  <c r="N190" i="8"/>
  <c r="N62" i="6"/>
  <c r="N60" i="6" s="1"/>
  <c r="K655" i="6"/>
  <c r="K704" i="6"/>
  <c r="K710" i="6"/>
  <c r="N24" i="7"/>
  <c r="N22" i="7" s="1"/>
  <c r="I139" i="7"/>
  <c r="K139" i="7" s="1"/>
  <c r="Q143" i="7"/>
  <c r="T143" i="7" s="1"/>
  <c r="P148" i="7"/>
  <c r="L234" i="7"/>
  <c r="K252" i="7"/>
  <c r="T307" i="7"/>
  <c r="L323" i="7"/>
  <c r="L321" i="7" s="1"/>
  <c r="O321" i="7" s="1"/>
  <c r="O362" i="7"/>
  <c r="I493" i="7"/>
  <c r="K493" i="7" s="1"/>
  <c r="S24" i="8"/>
  <c r="U46" i="8"/>
  <c r="R45" i="8"/>
  <c r="U45" i="8" s="1"/>
  <c r="U61" i="8"/>
  <c r="R60" i="8"/>
  <c r="U60" i="8" s="1"/>
  <c r="M79" i="8"/>
  <c r="P79" i="8" s="1"/>
  <c r="P81" i="8"/>
  <c r="M75" i="8"/>
  <c r="I84" i="8"/>
  <c r="K88" i="8"/>
  <c r="L244" i="8"/>
  <c r="L234" i="8"/>
  <c r="M393" i="8"/>
  <c r="P393" i="8" s="1"/>
  <c r="P394" i="8"/>
  <c r="J375" i="6"/>
  <c r="J703" i="6"/>
  <c r="N27" i="7"/>
  <c r="N25" i="7" s="1"/>
  <c r="R143" i="7"/>
  <c r="U143" i="7" s="1"/>
  <c r="U145" i="7"/>
  <c r="Q176" i="7"/>
  <c r="T176" i="7" s="1"/>
  <c r="T190" i="7"/>
  <c r="I242" i="7"/>
  <c r="K242" i="7" s="1"/>
  <c r="O46" i="8"/>
  <c r="O61" i="8"/>
  <c r="Q95" i="8"/>
  <c r="T95" i="8" s="1"/>
  <c r="T97" i="8"/>
  <c r="P119" i="8"/>
  <c r="S360" i="1"/>
  <c r="M327" i="6"/>
  <c r="P327" i="6" s="1"/>
  <c r="O53" i="7"/>
  <c r="U98" i="7"/>
  <c r="K109" i="7"/>
  <c r="O182" i="7"/>
  <c r="L215" i="7"/>
  <c r="O215" i="7" s="1"/>
  <c r="K345" i="7"/>
  <c r="T23" i="8"/>
  <c r="O74" i="8"/>
  <c r="O50" i="6"/>
  <c r="M160" i="6"/>
  <c r="M158" i="6" s="1"/>
  <c r="O342" i="6"/>
  <c r="U75" i="7"/>
  <c r="R97" i="7"/>
  <c r="R95" i="7" s="1"/>
  <c r="N97" i="7"/>
  <c r="N95" i="7" s="1"/>
  <c r="S177" i="7"/>
  <c r="T270" i="7"/>
  <c r="L360" i="7"/>
  <c r="O360" i="7" s="1"/>
  <c r="P362" i="7"/>
  <c r="S645" i="7"/>
  <c r="S643" i="7" s="1"/>
  <c r="Q646" i="7"/>
  <c r="T646" i="7" s="1"/>
  <c r="K704" i="7"/>
  <c r="Q763" i="7"/>
  <c r="K785" i="7"/>
  <c r="Q20" i="8"/>
  <c r="P50" i="8"/>
  <c r="R76" i="8"/>
  <c r="U76" i="8" s="1"/>
  <c r="R24" i="8"/>
  <c r="U78" i="8"/>
  <c r="R75" i="8"/>
  <c r="I138" i="8"/>
  <c r="K138" i="8" s="1"/>
  <c r="K153" i="8"/>
  <c r="R158" i="8"/>
  <c r="U158" i="8" s="1"/>
  <c r="U159" i="8"/>
  <c r="T163" i="8"/>
  <c r="I139" i="6"/>
  <c r="K139" i="6" s="1"/>
  <c r="S378" i="6"/>
  <c r="S376" i="6" s="1"/>
  <c r="U646" i="6"/>
  <c r="K662" i="6"/>
  <c r="K683" i="6"/>
  <c r="I758" i="6"/>
  <c r="K758" i="6" s="1"/>
  <c r="Q75" i="7"/>
  <c r="T75" i="7" s="1"/>
  <c r="O103" i="7"/>
  <c r="N160" i="7"/>
  <c r="N158" i="7" s="1"/>
  <c r="I173" i="7"/>
  <c r="K173" i="7" s="1"/>
  <c r="M193" i="7"/>
  <c r="P193" i="7" s="1"/>
  <c r="N285" i="7"/>
  <c r="N283" i="7" s="1"/>
  <c r="K294" i="7"/>
  <c r="L306" i="7"/>
  <c r="O306" i="7" s="1"/>
  <c r="P329" i="7"/>
  <c r="L340" i="7"/>
  <c r="O340" i="7" s="1"/>
  <c r="J333" i="7"/>
  <c r="K333" i="7" s="1"/>
  <c r="N48" i="8"/>
  <c r="P48" i="8" s="1"/>
  <c r="N24" i="8"/>
  <c r="L24" i="8"/>
  <c r="O78" i="8"/>
  <c r="L75" i="8"/>
  <c r="I83" i="8"/>
  <c r="T145" i="8"/>
  <c r="Q142" i="8"/>
  <c r="Q24" i="8"/>
  <c r="Q22" i="8" s="1"/>
  <c r="K184" i="8"/>
  <c r="I173" i="8"/>
  <c r="K173" i="8" s="1"/>
  <c r="O275" i="8"/>
  <c r="L273" i="8"/>
  <c r="O273" i="8" s="1"/>
  <c r="L27" i="8"/>
  <c r="L269" i="8"/>
  <c r="O269" i="8" s="1"/>
  <c r="K277" i="8"/>
  <c r="I266" i="8"/>
  <c r="K266" i="8" s="1"/>
  <c r="R321" i="8"/>
  <c r="U321" i="8" s="1"/>
  <c r="U323" i="8"/>
  <c r="N27" i="8"/>
  <c r="N25" i="8" s="1"/>
  <c r="Q45" i="8"/>
  <c r="T45" i="8" s="1"/>
  <c r="O50" i="8"/>
  <c r="Q60" i="8"/>
  <c r="T60" i="8" s="1"/>
  <c r="T74" i="8"/>
  <c r="M97" i="8"/>
  <c r="P97" i="8" s="1"/>
  <c r="S120" i="8"/>
  <c r="I137" i="8"/>
  <c r="K137" i="8" s="1"/>
  <c r="L142" i="8"/>
  <c r="O148" i="8"/>
  <c r="Q160" i="8"/>
  <c r="M270" i="8"/>
  <c r="P272" i="8"/>
  <c r="M269" i="8"/>
  <c r="N306" i="8"/>
  <c r="N304" i="8" s="1"/>
  <c r="N310" i="8"/>
  <c r="O329" i="8"/>
  <c r="L327" i="8"/>
  <c r="O327" i="8" s="1"/>
  <c r="L323" i="8"/>
  <c r="U381" i="8"/>
  <c r="R378" i="8"/>
  <c r="R379" i="8"/>
  <c r="U379" i="8" s="1"/>
  <c r="J375" i="8"/>
  <c r="K387" i="8"/>
  <c r="L643" i="8"/>
  <c r="O643" i="8" s="1"/>
  <c r="O644" i="8"/>
  <c r="N63" i="8"/>
  <c r="O63" i="8" s="1"/>
  <c r="T78" i="8"/>
  <c r="I93" i="8"/>
  <c r="K93" i="8" s="1"/>
  <c r="Q98" i="8"/>
  <c r="T98" i="8" s="1"/>
  <c r="I117" i="8"/>
  <c r="K117" i="8" s="1"/>
  <c r="Q118" i="8"/>
  <c r="O119" i="8"/>
  <c r="M120" i="8"/>
  <c r="P120" i="8" s="1"/>
  <c r="M142" i="8"/>
  <c r="N176" i="8"/>
  <c r="O188" i="8"/>
  <c r="L215" i="8"/>
  <c r="O215" i="8" s="1"/>
  <c r="L235" i="8"/>
  <c r="L255" i="8"/>
  <c r="O255" i="8" s="1"/>
  <c r="U305" i="8"/>
  <c r="O309" i="8"/>
  <c r="Q270" i="8"/>
  <c r="T270" i="8" s="1"/>
  <c r="Q269" i="8"/>
  <c r="R283" i="8"/>
  <c r="U283" i="8" s="1"/>
  <c r="U284" i="8"/>
  <c r="M414" i="8"/>
  <c r="P414" i="8" s="1"/>
  <c r="P415" i="8"/>
  <c r="J504" i="8"/>
  <c r="J493" i="8" s="1"/>
  <c r="K505" i="8"/>
  <c r="R514" i="8"/>
  <c r="U514" i="8" s="1"/>
  <c r="U515" i="8"/>
  <c r="M577" i="8"/>
  <c r="P577" i="8" s="1"/>
  <c r="P578" i="8"/>
  <c r="M62" i="8"/>
  <c r="K168" i="8"/>
  <c r="P179" i="8"/>
  <c r="O192" i="8"/>
  <c r="L306" i="8"/>
  <c r="O515" i="8"/>
  <c r="T557" i="8"/>
  <c r="Q556" i="8"/>
  <c r="T556" i="8" s="1"/>
  <c r="N62" i="8"/>
  <c r="U175" i="8"/>
  <c r="I241" i="8"/>
  <c r="K241" i="8" s="1"/>
  <c r="K252" i="8"/>
  <c r="K261" i="8"/>
  <c r="I254" i="8"/>
  <c r="K254" i="8" s="1"/>
  <c r="I239" i="8"/>
  <c r="K239" i="8" s="1"/>
  <c r="N285" i="8"/>
  <c r="O288" i="8"/>
  <c r="N286" i="8"/>
  <c r="T309" i="8"/>
  <c r="S307" i="8"/>
  <c r="T307" i="8" s="1"/>
  <c r="P618" i="8"/>
  <c r="M617" i="8"/>
  <c r="P617" i="8" s="1"/>
  <c r="M306" i="8"/>
  <c r="M304" i="8" s="1"/>
  <c r="R334" i="8"/>
  <c r="U334" i="8" s="1"/>
  <c r="J352" i="8"/>
  <c r="Q357" i="8"/>
  <c r="T357" i="8" s="1"/>
  <c r="N359" i="8"/>
  <c r="N357" i="8" s="1"/>
  <c r="K366" i="8"/>
  <c r="Q393" i="8"/>
  <c r="T393" i="8" s="1"/>
  <c r="R414" i="8"/>
  <c r="U414" i="8" s="1"/>
  <c r="U416" i="8"/>
  <c r="U499" i="8"/>
  <c r="R496" i="8"/>
  <c r="U496" i="8" s="1"/>
  <c r="O536" i="8"/>
  <c r="L535" i="8"/>
  <c r="O535" i="8" s="1"/>
  <c r="O579" i="8"/>
  <c r="L577" i="8"/>
  <c r="O577" i="8" s="1"/>
  <c r="O601" i="8"/>
  <c r="L600" i="8"/>
  <c r="O600" i="8" s="1"/>
  <c r="M643" i="8"/>
  <c r="P643" i="8" s="1"/>
  <c r="P644" i="8"/>
  <c r="P288" i="8"/>
  <c r="L336" i="8"/>
  <c r="O365" i="8"/>
  <c r="L359" i="8"/>
  <c r="S496" i="8"/>
  <c r="S494" i="8" s="1"/>
  <c r="S497" i="8"/>
  <c r="M535" i="8"/>
  <c r="P535" i="8" s="1"/>
  <c r="P536" i="8"/>
  <c r="M600" i="8"/>
  <c r="P600" i="8" s="1"/>
  <c r="P601" i="8"/>
  <c r="P362" i="8"/>
  <c r="P557" i="8"/>
  <c r="M556" i="8"/>
  <c r="P556" i="8" s="1"/>
  <c r="M285" i="8"/>
  <c r="Q321" i="8"/>
  <c r="T321" i="8" s="1"/>
  <c r="P342" i="8"/>
  <c r="M336" i="8"/>
  <c r="K345" i="8"/>
  <c r="I333" i="8"/>
  <c r="M376" i="8"/>
  <c r="P376" i="8" s="1"/>
  <c r="L414" i="8"/>
  <c r="O414" i="8" s="1"/>
  <c r="U644" i="8"/>
  <c r="I243" i="8"/>
  <c r="R306" i="8"/>
  <c r="U306" i="8" s="1"/>
  <c r="U309" i="8"/>
  <c r="U358" i="8"/>
  <c r="O362" i="8"/>
  <c r="L393" i="8"/>
  <c r="O393" i="8" s="1"/>
  <c r="U419" i="8"/>
  <c r="R417" i="8"/>
  <c r="U417" i="8" s="1"/>
  <c r="N494" i="8"/>
  <c r="N517" i="8"/>
  <c r="N516" i="8"/>
  <c r="N514" i="8" s="1"/>
  <c r="U536" i="8"/>
  <c r="R535" i="8"/>
  <c r="U535" i="8" s="1"/>
  <c r="U601" i="8"/>
  <c r="R600" i="8"/>
  <c r="U600" i="8" s="1"/>
  <c r="S617" i="8"/>
  <c r="U617" i="8" s="1"/>
  <c r="K631" i="8"/>
  <c r="L691" i="8"/>
  <c r="O691" i="8" s="1"/>
  <c r="O693" i="8"/>
  <c r="K708" i="8"/>
  <c r="I690" i="8"/>
  <c r="K690" i="8" s="1"/>
  <c r="I759" i="8"/>
  <c r="K759" i="8" s="1"/>
  <c r="K774" i="8"/>
  <c r="R393" i="8"/>
  <c r="U393" i="8" s="1"/>
  <c r="S577" i="8"/>
  <c r="S731" i="8"/>
  <c r="S729" i="8" s="1"/>
  <c r="S732" i="8"/>
  <c r="U732" i="8" s="1"/>
  <c r="K780" i="8"/>
  <c r="S693" i="8"/>
  <c r="S691" i="8" s="1"/>
  <c r="T691" i="8" s="1"/>
  <c r="M715" i="8"/>
  <c r="P715" i="8" s="1"/>
  <c r="M729" i="8"/>
  <c r="P729" i="8" s="1"/>
  <c r="Q731" i="8"/>
  <c r="T734" i="8"/>
  <c r="R762" i="8"/>
  <c r="U765" i="8"/>
  <c r="R731" i="8"/>
  <c r="S140" i="7"/>
  <c r="K387" i="5"/>
  <c r="Q76" i="6"/>
  <c r="K153" i="6"/>
  <c r="Q160" i="6"/>
  <c r="Q158" i="6" s="1"/>
  <c r="T158" i="6" s="1"/>
  <c r="M164" i="6"/>
  <c r="P164" i="6" s="1"/>
  <c r="L236" i="6"/>
  <c r="U309" i="6"/>
  <c r="Q97" i="7"/>
  <c r="Q95" i="7" s="1"/>
  <c r="I117" i="7"/>
  <c r="K117" i="7" s="1"/>
  <c r="Q142" i="7"/>
  <c r="T142" i="7" s="1"/>
  <c r="M189" i="7"/>
  <c r="M187" i="7" s="1"/>
  <c r="N269" i="7"/>
  <c r="N267" i="7" s="1"/>
  <c r="U307" i="7"/>
  <c r="K710" i="7"/>
  <c r="S176" i="6"/>
  <c r="S174" i="6" s="1"/>
  <c r="R306" i="6"/>
  <c r="R304" i="6" s="1"/>
  <c r="I424" i="6"/>
  <c r="K424" i="6" s="1"/>
  <c r="M160" i="7"/>
  <c r="P160" i="7" s="1"/>
  <c r="O286" i="7"/>
  <c r="R306" i="7"/>
  <c r="R304" i="7" s="1"/>
  <c r="I375" i="7"/>
  <c r="T379" i="7"/>
  <c r="M51" i="7"/>
  <c r="P51" i="7" s="1"/>
  <c r="L142" i="7"/>
  <c r="R24" i="7"/>
  <c r="R22" i="7" s="1"/>
  <c r="M269" i="7"/>
  <c r="M267" i="7" s="1"/>
  <c r="M336" i="7"/>
  <c r="M334" i="7" s="1"/>
  <c r="N359" i="7"/>
  <c r="N357" i="7" s="1"/>
  <c r="K369" i="7"/>
  <c r="R619" i="7"/>
  <c r="R617" i="7" s="1"/>
  <c r="U617" i="7" s="1"/>
  <c r="S691" i="7"/>
  <c r="O309" i="5"/>
  <c r="R731" i="5"/>
  <c r="R729" i="5" s="1"/>
  <c r="M24" i="7"/>
  <c r="M142" i="7"/>
  <c r="M140" i="7" s="1"/>
  <c r="O143" i="7"/>
  <c r="O145" i="7"/>
  <c r="L146" i="7"/>
  <c r="O146" i="7" s="1"/>
  <c r="O309" i="7"/>
  <c r="S620" i="7"/>
  <c r="U620" i="7" s="1"/>
  <c r="T696" i="7"/>
  <c r="K779" i="7"/>
  <c r="R140" i="7"/>
  <c r="U140" i="7" s="1"/>
  <c r="N142" i="7"/>
  <c r="M143" i="7"/>
  <c r="P143" i="7" s="1"/>
  <c r="Q177" i="7"/>
  <c r="T177" i="7" s="1"/>
  <c r="L223" i="7"/>
  <c r="O223" i="7" s="1"/>
  <c r="L327" i="7"/>
  <c r="O327" i="7" s="1"/>
  <c r="K370" i="7"/>
  <c r="Q378" i="7"/>
  <c r="Q376" i="7" s="1"/>
  <c r="I424" i="7"/>
  <c r="K424" i="7" s="1"/>
  <c r="T499" i="7"/>
  <c r="J702" i="7"/>
  <c r="N645" i="1"/>
  <c r="K366" i="7"/>
  <c r="N47" i="6"/>
  <c r="N45" i="6" s="1"/>
  <c r="L66" i="6"/>
  <c r="O66" i="6" s="1"/>
  <c r="S306" i="6"/>
  <c r="N47" i="7"/>
  <c r="N45" i="7" s="1"/>
  <c r="S76" i="7"/>
  <c r="T76" i="7" s="1"/>
  <c r="L75" i="7"/>
  <c r="L73" i="7" s="1"/>
  <c r="T78" i="7"/>
  <c r="I94" i="7"/>
  <c r="K94" i="7" s="1"/>
  <c r="M97" i="7"/>
  <c r="T120" i="7"/>
  <c r="S121" i="7"/>
  <c r="I196" i="7"/>
  <c r="K196" i="7" s="1"/>
  <c r="Q269" i="7"/>
  <c r="Q267" i="7" s="1"/>
  <c r="I282" i="7"/>
  <c r="K282" i="7" s="1"/>
  <c r="N336" i="7"/>
  <c r="N334" i="7" s="1"/>
  <c r="T381" i="7"/>
  <c r="R416" i="7"/>
  <c r="U416" i="7" s="1"/>
  <c r="Q496" i="7"/>
  <c r="Q494" i="7" s="1"/>
  <c r="T494" i="7" s="1"/>
  <c r="K708" i="7"/>
  <c r="R716" i="1"/>
  <c r="U716" i="1" s="1"/>
  <c r="L234" i="5"/>
  <c r="O76" i="6"/>
  <c r="L176" i="6"/>
  <c r="L174" i="6" s="1"/>
  <c r="S763" i="6"/>
  <c r="U763" i="6" s="1"/>
  <c r="P78" i="7"/>
  <c r="Q306" i="7"/>
  <c r="Q304" i="7" s="1"/>
  <c r="R417" i="7"/>
  <c r="U417" i="7" s="1"/>
  <c r="K458" i="7"/>
  <c r="R496" i="7"/>
  <c r="R494" i="7" s="1"/>
  <c r="U494" i="7" s="1"/>
  <c r="R497" i="7"/>
  <c r="U497" i="7" s="1"/>
  <c r="R646" i="7"/>
  <c r="U646" i="7" s="1"/>
  <c r="U648" i="7"/>
  <c r="J675" i="7"/>
  <c r="U696" i="7"/>
  <c r="U765" i="7"/>
  <c r="S645" i="4"/>
  <c r="S643" i="4" s="1"/>
  <c r="L66" i="7"/>
  <c r="O66" i="7" s="1"/>
  <c r="L121" i="7"/>
  <c r="O121" i="7" s="1"/>
  <c r="N189" i="7"/>
  <c r="L244" i="7"/>
  <c r="L255" i="7"/>
  <c r="O255" i="7" s="1"/>
  <c r="T272" i="7"/>
  <c r="U622" i="7"/>
  <c r="R693" i="7"/>
  <c r="R691" i="7" s="1"/>
  <c r="S763" i="7"/>
  <c r="N176" i="6"/>
  <c r="N174" i="6" s="1"/>
  <c r="I320" i="6"/>
  <c r="K320" i="6" s="1"/>
  <c r="Q24" i="7"/>
  <c r="Q22" i="7" s="1"/>
  <c r="O288" i="7"/>
  <c r="U309" i="7"/>
  <c r="O312" i="7"/>
  <c r="S378" i="7"/>
  <c r="S376" i="7" s="1"/>
  <c r="R379" i="7"/>
  <c r="U379" i="7" s="1"/>
  <c r="K387" i="7"/>
  <c r="L517" i="7"/>
  <c r="O517" i="7" s="1"/>
  <c r="L285" i="2"/>
  <c r="L283" i="2" s="1"/>
  <c r="N359" i="2"/>
  <c r="N357" i="2" s="1"/>
  <c r="R762" i="4"/>
  <c r="R760" i="4" s="1"/>
  <c r="U760" i="4" s="1"/>
  <c r="J504" i="6"/>
  <c r="J493" i="6" s="1"/>
  <c r="P50" i="7"/>
  <c r="P65" i="7"/>
  <c r="L120" i="7"/>
  <c r="U123" i="7"/>
  <c r="M190" i="7"/>
  <c r="P190" i="7" s="1"/>
  <c r="K347" i="7"/>
  <c r="J352" i="7"/>
  <c r="K372" i="7"/>
  <c r="U734" i="7"/>
  <c r="K784" i="7"/>
  <c r="S562" i="1"/>
  <c r="M101" i="2"/>
  <c r="P101" i="2" s="1"/>
  <c r="I222" i="6"/>
  <c r="K222" i="6" s="1"/>
  <c r="K230" i="6"/>
  <c r="J676" i="4"/>
  <c r="I139" i="5"/>
  <c r="K139" i="5" s="1"/>
  <c r="M289" i="5"/>
  <c r="P289" i="5" s="1"/>
  <c r="T121" i="6"/>
  <c r="L193" i="6"/>
  <c r="O193" i="6" s="1"/>
  <c r="O195" i="6"/>
  <c r="Q269" i="6"/>
  <c r="Q267" i="6" s="1"/>
  <c r="N306" i="6"/>
  <c r="N304" i="6" s="1"/>
  <c r="P342" i="6"/>
  <c r="M340" i="6"/>
  <c r="P340" i="6" s="1"/>
  <c r="R378" i="6"/>
  <c r="U378" i="6" s="1"/>
  <c r="U381" i="6"/>
  <c r="L48" i="7"/>
  <c r="O48" i="7" s="1"/>
  <c r="O50" i="7"/>
  <c r="L47" i="7"/>
  <c r="L24" i="7"/>
  <c r="T61" i="7"/>
  <c r="Q60" i="7"/>
  <c r="T60" i="7" s="1"/>
  <c r="R76" i="7"/>
  <c r="U78" i="7"/>
  <c r="L98" i="7"/>
  <c r="O98" i="7" s="1"/>
  <c r="O100" i="7"/>
  <c r="L97" i="7"/>
  <c r="O97" i="7" s="1"/>
  <c r="K458" i="4"/>
  <c r="Q496" i="4"/>
  <c r="Q494" i="4" s="1"/>
  <c r="T494" i="4" s="1"/>
  <c r="O20" i="7"/>
  <c r="T23" i="7"/>
  <c r="Q20" i="7"/>
  <c r="O26" i="7"/>
  <c r="P46" i="7"/>
  <c r="T98" i="7"/>
  <c r="R177" i="7"/>
  <c r="U177" i="7" s="1"/>
  <c r="U179" i="7"/>
  <c r="R176" i="7"/>
  <c r="U176" i="7" s="1"/>
  <c r="K221" i="7"/>
  <c r="I214" i="7"/>
  <c r="K214" i="7" s="1"/>
  <c r="P326" i="7"/>
  <c r="M324" i="7"/>
  <c r="P324" i="7" s="1"/>
  <c r="M323" i="7"/>
  <c r="R75" i="6"/>
  <c r="U75" i="6" s="1"/>
  <c r="M120" i="6"/>
  <c r="P120" i="6" s="1"/>
  <c r="N286" i="6"/>
  <c r="P286" i="6" s="1"/>
  <c r="N285" i="6"/>
  <c r="N283" i="6" s="1"/>
  <c r="M289" i="6"/>
  <c r="P289" i="6" s="1"/>
  <c r="P291" i="6"/>
  <c r="L63" i="7"/>
  <c r="O63" i="7" s="1"/>
  <c r="O65" i="7"/>
  <c r="L76" i="7"/>
  <c r="O76" i="7" s="1"/>
  <c r="O78" i="7"/>
  <c r="M124" i="7"/>
  <c r="P124" i="7" s="1"/>
  <c r="M120" i="7"/>
  <c r="P126" i="7"/>
  <c r="I196" i="3"/>
  <c r="K196" i="3" s="1"/>
  <c r="O286" i="4"/>
  <c r="N142" i="5"/>
  <c r="N140" i="5" s="1"/>
  <c r="Q306" i="5"/>
  <c r="Q304" i="5" s="1"/>
  <c r="U78" i="6"/>
  <c r="L146" i="6"/>
  <c r="O146" i="6" s="1"/>
  <c r="R190" i="6"/>
  <c r="U192" i="6"/>
  <c r="P326" i="6"/>
  <c r="M323" i="6"/>
  <c r="P323" i="6" s="1"/>
  <c r="M324" i="6"/>
  <c r="P324" i="6" s="1"/>
  <c r="N79" i="7"/>
  <c r="N75" i="7"/>
  <c r="N73" i="7" s="1"/>
  <c r="K153" i="7"/>
  <c r="I138" i="7"/>
  <c r="K138" i="7" s="1"/>
  <c r="M101" i="7"/>
  <c r="P101" i="7" s="1"/>
  <c r="P103" i="7"/>
  <c r="M27" i="7"/>
  <c r="O175" i="7"/>
  <c r="M233" i="1"/>
  <c r="M75" i="6"/>
  <c r="M73" i="6" s="1"/>
  <c r="S120" i="6"/>
  <c r="S118" i="6" s="1"/>
  <c r="S143" i="6"/>
  <c r="P145" i="6"/>
  <c r="K155" i="6"/>
  <c r="N160" i="6"/>
  <c r="N158" i="6" s="1"/>
  <c r="T46" i="7"/>
  <c r="Q45" i="7"/>
  <c r="T45" i="7" s="1"/>
  <c r="L62" i="7"/>
  <c r="O96" i="7"/>
  <c r="T159" i="7"/>
  <c r="Q158" i="7"/>
  <c r="T158" i="7" s="1"/>
  <c r="R161" i="7"/>
  <c r="U161" i="7" s="1"/>
  <c r="U163" i="7"/>
  <c r="R160" i="7"/>
  <c r="U188" i="7"/>
  <c r="M176" i="6"/>
  <c r="M174" i="6" s="1"/>
  <c r="J352" i="6"/>
  <c r="N359" i="6"/>
  <c r="N357" i="6" s="1"/>
  <c r="S24" i="7"/>
  <c r="R45" i="7"/>
  <c r="U45" i="7" s="1"/>
  <c r="M48" i="7"/>
  <c r="P48" i="7" s="1"/>
  <c r="M62" i="7"/>
  <c r="M63" i="7"/>
  <c r="P63" i="7" s="1"/>
  <c r="S97" i="7"/>
  <c r="R120" i="7"/>
  <c r="R121" i="7"/>
  <c r="Q121" i="7"/>
  <c r="T123" i="7"/>
  <c r="P175" i="7"/>
  <c r="T192" i="7"/>
  <c r="Q189" i="7"/>
  <c r="I266" i="7"/>
  <c r="K266" i="7" s="1"/>
  <c r="L161" i="7"/>
  <c r="O161" i="7" s="1"/>
  <c r="O163" i="7"/>
  <c r="L164" i="7"/>
  <c r="O164" i="7" s="1"/>
  <c r="O166" i="7"/>
  <c r="L177" i="7"/>
  <c r="O179" i="7"/>
  <c r="L176" i="7"/>
  <c r="P182" i="7"/>
  <c r="M180" i="7"/>
  <c r="P180" i="7" s="1"/>
  <c r="O188" i="7"/>
  <c r="U192" i="7"/>
  <c r="R189" i="7"/>
  <c r="I203" i="7"/>
  <c r="K203" i="7" s="1"/>
  <c r="K210" i="7"/>
  <c r="K250" i="7"/>
  <c r="I243" i="7"/>
  <c r="I254" i="7"/>
  <c r="K254" i="7" s="1"/>
  <c r="K261" i="7"/>
  <c r="M310" i="7"/>
  <c r="P310" i="7" s="1"/>
  <c r="P312" i="7"/>
  <c r="L160" i="6"/>
  <c r="I173" i="6"/>
  <c r="K173" i="6" s="1"/>
  <c r="N269" i="6"/>
  <c r="N267" i="6" s="1"/>
  <c r="O360" i="6"/>
  <c r="K370" i="6"/>
  <c r="K387" i="6"/>
  <c r="K677" i="6"/>
  <c r="K690" i="6"/>
  <c r="M75" i="7"/>
  <c r="M79" i="7"/>
  <c r="P79" i="7" s="1"/>
  <c r="M98" i="7"/>
  <c r="P98" i="7" s="1"/>
  <c r="P100" i="7"/>
  <c r="T100" i="7"/>
  <c r="Q118" i="7"/>
  <c r="T175" i="7"/>
  <c r="P179" i="7"/>
  <c r="M176" i="7"/>
  <c r="P188" i="7"/>
  <c r="R190" i="7"/>
  <c r="U190" i="7" s="1"/>
  <c r="O192" i="7"/>
  <c r="L189" i="7"/>
  <c r="T268" i="7"/>
  <c r="L237" i="6"/>
  <c r="M269" i="6"/>
  <c r="M267" i="6" s="1"/>
  <c r="P360" i="6"/>
  <c r="I493" i="6"/>
  <c r="K493" i="6" s="1"/>
  <c r="L27" i="7"/>
  <c r="O27" i="7" s="1"/>
  <c r="T74" i="7"/>
  <c r="L79" i="7"/>
  <c r="O79" i="7" s="1"/>
  <c r="O81" i="7"/>
  <c r="U100" i="7"/>
  <c r="L124" i="7"/>
  <c r="O124" i="7" s="1"/>
  <c r="K155" i="7"/>
  <c r="L160" i="7"/>
  <c r="M161" i="7"/>
  <c r="P161" i="7" s="1"/>
  <c r="U175" i="7"/>
  <c r="M177" i="7"/>
  <c r="L190" i="7"/>
  <c r="O190" i="7" s="1"/>
  <c r="L193" i="7"/>
  <c r="O193" i="7" s="1"/>
  <c r="U268" i="7"/>
  <c r="R267" i="7"/>
  <c r="T284" i="7"/>
  <c r="Q283" i="7"/>
  <c r="T283" i="7" s="1"/>
  <c r="U622" i="6"/>
  <c r="K706" i="6"/>
  <c r="K781" i="6"/>
  <c r="Q25" i="7"/>
  <c r="T25" i="7" s="1"/>
  <c r="R73" i="7"/>
  <c r="U73" i="7" s="1"/>
  <c r="U96" i="7"/>
  <c r="Q161" i="7"/>
  <c r="T161" i="7" s="1"/>
  <c r="T163" i="7"/>
  <c r="I239" i="7"/>
  <c r="K239" i="7" s="1"/>
  <c r="L270" i="7"/>
  <c r="O270" i="7" s="1"/>
  <c r="O272" i="7"/>
  <c r="L269" i="7"/>
  <c r="O269" i="7" s="1"/>
  <c r="P305" i="7"/>
  <c r="M306" i="7"/>
  <c r="P306" i="7" s="1"/>
  <c r="N307" i="7"/>
  <c r="N306" i="7"/>
  <c r="N304" i="7" s="1"/>
  <c r="L376" i="7"/>
  <c r="O376" i="7" s="1"/>
  <c r="O378" i="7"/>
  <c r="O268" i="7"/>
  <c r="S269" i="7"/>
  <c r="M270" i="7"/>
  <c r="P270" i="7" s="1"/>
  <c r="P272" i="7"/>
  <c r="L273" i="7"/>
  <c r="O273" i="7" s="1"/>
  <c r="O275" i="7"/>
  <c r="U284" i="7"/>
  <c r="R283" i="7"/>
  <c r="U283" i="7" s="1"/>
  <c r="N337" i="7"/>
  <c r="L337" i="7"/>
  <c r="O339" i="7"/>
  <c r="L363" i="7"/>
  <c r="O363" i="7" s="1"/>
  <c r="O365" i="7"/>
  <c r="L359" i="7"/>
  <c r="I84" i="7"/>
  <c r="L204" i="7"/>
  <c r="O204" i="7" s="1"/>
  <c r="I222" i="7"/>
  <c r="K222" i="7" s="1"/>
  <c r="M273" i="7"/>
  <c r="P273" i="7" s="1"/>
  <c r="P275" i="7"/>
  <c r="O291" i="7"/>
  <c r="L285" i="7"/>
  <c r="T322" i="7"/>
  <c r="Q321" i="7"/>
  <c r="T321" i="7" s="1"/>
  <c r="M337" i="7"/>
  <c r="P339" i="7"/>
  <c r="P358" i="7"/>
  <c r="M363" i="7"/>
  <c r="P363" i="7" s="1"/>
  <c r="P365" i="7"/>
  <c r="M359" i="7"/>
  <c r="T419" i="7"/>
  <c r="Q416" i="7"/>
  <c r="T416" i="7" s="1"/>
  <c r="Q417" i="7"/>
  <c r="T417" i="7" s="1"/>
  <c r="T557" i="7"/>
  <c r="Q556" i="7"/>
  <c r="T556" i="7" s="1"/>
  <c r="Q577" i="7"/>
  <c r="T577" i="7" s="1"/>
  <c r="T579" i="7"/>
  <c r="L643" i="7"/>
  <c r="O643" i="7" s="1"/>
  <c r="O645" i="7"/>
  <c r="N233" i="7"/>
  <c r="L237" i="7"/>
  <c r="O284" i="7"/>
  <c r="U305" i="7"/>
  <c r="R321" i="7"/>
  <c r="U321" i="7" s="1"/>
  <c r="U323" i="7"/>
  <c r="N327" i="7"/>
  <c r="N323" i="7"/>
  <c r="N321" i="7" s="1"/>
  <c r="T335" i="7"/>
  <c r="Q334" i="7"/>
  <c r="T334" i="7" s="1"/>
  <c r="R270" i="7"/>
  <c r="U270" i="7" s="1"/>
  <c r="U272" i="7"/>
  <c r="P284" i="7"/>
  <c r="M286" i="7"/>
  <c r="P286" i="7" s="1"/>
  <c r="P288" i="7"/>
  <c r="U335" i="7"/>
  <c r="R334" i="7"/>
  <c r="U334" i="7" s="1"/>
  <c r="T692" i="7"/>
  <c r="O305" i="7"/>
  <c r="S306" i="7"/>
  <c r="S304" i="7" s="1"/>
  <c r="M307" i="7"/>
  <c r="P307" i="7" s="1"/>
  <c r="P309" i="7"/>
  <c r="T309" i="7"/>
  <c r="L324" i="7"/>
  <c r="O324" i="7" s="1"/>
  <c r="O326" i="7"/>
  <c r="O335" i="7"/>
  <c r="J344" i="7"/>
  <c r="T415" i="7"/>
  <c r="J504" i="7"/>
  <c r="J493" i="7" s="1"/>
  <c r="K506" i="7"/>
  <c r="L520" i="7"/>
  <c r="O520" i="7" s="1"/>
  <c r="O522" i="7"/>
  <c r="L516" i="7"/>
  <c r="U557" i="7"/>
  <c r="R556" i="7"/>
  <c r="U556" i="7" s="1"/>
  <c r="O618" i="7"/>
  <c r="L617" i="7"/>
  <c r="O617" i="7" s="1"/>
  <c r="I759" i="7"/>
  <c r="K759" i="7" s="1"/>
  <c r="K774" i="7"/>
  <c r="Q393" i="7"/>
  <c r="T393" i="7" s="1"/>
  <c r="T395" i="7"/>
  <c r="U415" i="7"/>
  <c r="P515" i="7"/>
  <c r="M520" i="7"/>
  <c r="P520" i="7" s="1"/>
  <c r="P522" i="7"/>
  <c r="M516" i="7"/>
  <c r="P516" i="7" s="1"/>
  <c r="M617" i="7"/>
  <c r="P617" i="7" s="1"/>
  <c r="P619" i="7"/>
  <c r="K633" i="7"/>
  <c r="K632" i="7"/>
  <c r="K631" i="7"/>
  <c r="K627" i="7"/>
  <c r="K630" i="7"/>
  <c r="Q715" i="7"/>
  <c r="T715" i="7" s="1"/>
  <c r="K727" i="7"/>
  <c r="S731" i="7"/>
  <c r="T734" i="7"/>
  <c r="S732" i="7"/>
  <c r="T732" i="7" s="1"/>
  <c r="O415" i="7"/>
  <c r="L414" i="7"/>
  <c r="O414" i="7" s="1"/>
  <c r="Q535" i="7"/>
  <c r="T535" i="7" s="1"/>
  <c r="T537" i="7"/>
  <c r="O557" i="7"/>
  <c r="L556" i="7"/>
  <c r="O556" i="7" s="1"/>
  <c r="T622" i="7"/>
  <c r="Q619" i="7"/>
  <c r="T619" i="7" s="1"/>
  <c r="Q620" i="7"/>
  <c r="T644" i="7"/>
  <c r="I690" i="7"/>
  <c r="K690" i="7" s="1"/>
  <c r="L691" i="7"/>
  <c r="O691" i="7" s="1"/>
  <c r="O693" i="7"/>
  <c r="K706" i="7"/>
  <c r="I702" i="7"/>
  <c r="M556" i="7"/>
  <c r="P556" i="7" s="1"/>
  <c r="P558" i="7"/>
  <c r="Q600" i="7"/>
  <c r="T600" i="7" s="1"/>
  <c r="T618" i="7"/>
  <c r="R643" i="7"/>
  <c r="U643" i="7" s="1"/>
  <c r="U645" i="7"/>
  <c r="Q760" i="7"/>
  <c r="T760" i="7" s="1"/>
  <c r="T762" i="7"/>
  <c r="M414" i="7"/>
  <c r="P414" i="7" s="1"/>
  <c r="P416" i="7"/>
  <c r="L494" i="7"/>
  <c r="O494" i="7" s="1"/>
  <c r="O496" i="7"/>
  <c r="U618" i="7"/>
  <c r="S694" i="7"/>
  <c r="I758" i="7"/>
  <c r="K758" i="7" s="1"/>
  <c r="N66" i="6"/>
  <c r="P161" i="6"/>
  <c r="Q176" i="6"/>
  <c r="T176" i="6" s="1"/>
  <c r="S190" i="6"/>
  <c r="K250" i="6"/>
  <c r="O309" i="6"/>
  <c r="M336" i="6"/>
  <c r="M334" i="6" s="1"/>
  <c r="P337" i="6"/>
  <c r="K369" i="6"/>
  <c r="T499" i="6"/>
  <c r="K784" i="6"/>
  <c r="N27" i="6"/>
  <c r="N25" i="6" s="1"/>
  <c r="P68" i="6"/>
  <c r="L75" i="6"/>
  <c r="L73" i="6" s="1"/>
  <c r="Q97" i="6"/>
  <c r="Q95" i="6" s="1"/>
  <c r="T100" i="6"/>
  <c r="I196" i="6"/>
  <c r="K196" i="6" s="1"/>
  <c r="O288" i="6"/>
  <c r="N336" i="6"/>
  <c r="N334" i="6" s="1"/>
  <c r="Q497" i="6"/>
  <c r="T497" i="6" s="1"/>
  <c r="U648" i="6"/>
  <c r="K654" i="6"/>
  <c r="K778" i="6"/>
  <c r="Q142" i="5"/>
  <c r="T142" i="5" s="1"/>
  <c r="O63" i="6"/>
  <c r="M121" i="6"/>
  <c r="P121" i="6" s="1"/>
  <c r="T192" i="6"/>
  <c r="L223" i="6"/>
  <c r="O223" i="6" s="1"/>
  <c r="S496" i="6"/>
  <c r="S494" i="6" s="1"/>
  <c r="R645" i="6"/>
  <c r="R643" i="6" s="1"/>
  <c r="J702" i="6"/>
  <c r="K785" i="6"/>
  <c r="Q120" i="5"/>
  <c r="Q118" i="5" s="1"/>
  <c r="Q143" i="5"/>
  <c r="T143" i="5" s="1"/>
  <c r="J676" i="5"/>
  <c r="L48" i="6"/>
  <c r="O48" i="6" s="1"/>
  <c r="M143" i="6"/>
  <c r="P143" i="6" s="1"/>
  <c r="L189" i="6"/>
  <c r="L187" i="6" s="1"/>
  <c r="O307" i="6"/>
  <c r="P362" i="6"/>
  <c r="S645" i="6"/>
  <c r="S643" i="6" s="1"/>
  <c r="K782" i="3"/>
  <c r="L517" i="6"/>
  <c r="O517" i="6" s="1"/>
  <c r="T648" i="6"/>
  <c r="K783" i="6"/>
  <c r="T496" i="6"/>
  <c r="Q494" i="6"/>
  <c r="T494" i="6" s="1"/>
  <c r="L235" i="5"/>
  <c r="K710" i="5"/>
  <c r="L97" i="6"/>
  <c r="I117" i="6"/>
  <c r="K117" i="6" s="1"/>
  <c r="M142" i="6"/>
  <c r="M140" i="6" s="1"/>
  <c r="S160" i="6"/>
  <c r="S158" i="6" s="1"/>
  <c r="M189" i="6"/>
  <c r="M187" i="6" s="1"/>
  <c r="L215" i="6"/>
  <c r="O215" i="6" s="1"/>
  <c r="R269" i="6"/>
  <c r="R267" i="6" s="1"/>
  <c r="I282" i="6"/>
  <c r="K282" i="6" s="1"/>
  <c r="L359" i="6"/>
  <c r="L357" i="6" s="1"/>
  <c r="S416" i="6"/>
  <c r="S414" i="6" s="1"/>
  <c r="Q763" i="6"/>
  <c r="T765" i="6"/>
  <c r="Q762" i="6"/>
  <c r="T762" i="6" s="1"/>
  <c r="M180" i="5"/>
  <c r="P180" i="5" s="1"/>
  <c r="R189" i="5"/>
  <c r="R187" i="5" s="1"/>
  <c r="J703" i="5"/>
  <c r="O78" i="6"/>
  <c r="O81" i="6"/>
  <c r="I94" i="6"/>
  <c r="K94" i="6" s="1"/>
  <c r="N97" i="6"/>
  <c r="N95" i="6" s="1"/>
  <c r="R98" i="6"/>
  <c r="L101" i="6"/>
  <c r="O101" i="6" s="1"/>
  <c r="N142" i="6"/>
  <c r="N140" i="6" s="1"/>
  <c r="Q143" i="6"/>
  <c r="T143" i="6" s="1"/>
  <c r="Q190" i="6"/>
  <c r="L323" i="6"/>
  <c r="O323" i="6" s="1"/>
  <c r="K674" i="6"/>
  <c r="R694" i="6"/>
  <c r="U696" i="6"/>
  <c r="R693" i="6"/>
  <c r="R691" i="6" s="1"/>
  <c r="Q732" i="6"/>
  <c r="T732" i="6" s="1"/>
  <c r="Q731" i="6"/>
  <c r="Q729" i="6" s="1"/>
  <c r="T734" i="6"/>
  <c r="M176" i="5"/>
  <c r="M174" i="5" s="1"/>
  <c r="P50" i="6"/>
  <c r="S694" i="6"/>
  <c r="S693" i="6"/>
  <c r="S691" i="6" s="1"/>
  <c r="N285" i="4"/>
  <c r="N283" i="4" s="1"/>
  <c r="L66" i="5"/>
  <c r="O66" i="5" s="1"/>
  <c r="N160" i="5"/>
  <c r="N158" i="5" s="1"/>
  <c r="I281" i="5"/>
  <c r="K281" i="5" s="1"/>
  <c r="N24" i="6"/>
  <c r="P103" i="6"/>
  <c r="Q120" i="6"/>
  <c r="Q118" i="6" s="1"/>
  <c r="T123" i="6"/>
  <c r="S140" i="6"/>
  <c r="Q142" i="6"/>
  <c r="M146" i="6"/>
  <c r="P146" i="6" s="1"/>
  <c r="I157" i="6"/>
  <c r="K157" i="6" s="1"/>
  <c r="K168" i="6"/>
  <c r="R189" i="6"/>
  <c r="U189" i="6" s="1"/>
  <c r="M193" i="6"/>
  <c r="P193" i="6" s="1"/>
  <c r="M285" i="6"/>
  <c r="M283" i="6" s="1"/>
  <c r="L306" i="6"/>
  <c r="N323" i="6"/>
  <c r="N321" i="6" s="1"/>
  <c r="K505" i="6"/>
  <c r="N516" i="6"/>
  <c r="N514" i="6" s="1"/>
  <c r="R731" i="6"/>
  <c r="R729" i="6" s="1"/>
  <c r="L47" i="5"/>
  <c r="L45" i="5" s="1"/>
  <c r="L51" i="5"/>
  <c r="O51" i="5" s="1"/>
  <c r="M66" i="5"/>
  <c r="P66" i="5" s="1"/>
  <c r="S160" i="5"/>
  <c r="S158" i="5" s="1"/>
  <c r="P163" i="5"/>
  <c r="N189" i="5"/>
  <c r="N187" i="5" s="1"/>
  <c r="R379" i="5"/>
  <c r="U379" i="5" s="1"/>
  <c r="S416" i="5"/>
  <c r="S414" i="5" s="1"/>
  <c r="S693" i="5"/>
  <c r="S691" i="5" s="1"/>
  <c r="N75" i="6"/>
  <c r="I83" i="6"/>
  <c r="I170" i="6"/>
  <c r="K170" i="6" s="1"/>
  <c r="M180" i="6"/>
  <c r="P180" i="6" s="1"/>
  <c r="O192" i="6"/>
  <c r="L286" i="6"/>
  <c r="Q416" i="6"/>
  <c r="T416" i="6" s="1"/>
  <c r="K458" i="6"/>
  <c r="P522" i="6"/>
  <c r="S619" i="6"/>
  <c r="S617" i="6" s="1"/>
  <c r="L327" i="6"/>
  <c r="O327" i="6" s="1"/>
  <c r="R416" i="6"/>
  <c r="U416" i="6" s="1"/>
  <c r="P519" i="6"/>
  <c r="J675" i="6"/>
  <c r="K675" i="6" s="1"/>
  <c r="K780" i="6"/>
  <c r="T696" i="6"/>
  <c r="K728" i="6"/>
  <c r="R762" i="6"/>
  <c r="U762" i="6" s="1"/>
  <c r="U765" i="6"/>
  <c r="K779" i="6"/>
  <c r="U20" i="6"/>
  <c r="L124" i="6"/>
  <c r="O124" i="6" s="1"/>
  <c r="O126" i="6"/>
  <c r="L142" i="6"/>
  <c r="O145" i="6"/>
  <c r="L24" i="6"/>
  <c r="L22" i="6" s="1"/>
  <c r="L143" i="6"/>
  <c r="O143" i="6" s="1"/>
  <c r="U159" i="6"/>
  <c r="L270" i="6"/>
  <c r="O270" i="6" s="1"/>
  <c r="L269" i="6"/>
  <c r="O269" i="6" s="1"/>
  <c r="O272" i="6"/>
  <c r="I366" i="6"/>
  <c r="K366" i="6" s="1"/>
  <c r="K372" i="6"/>
  <c r="P515" i="6"/>
  <c r="R142" i="6"/>
  <c r="R24" i="6"/>
  <c r="R22" i="6" s="1"/>
  <c r="U145" i="6"/>
  <c r="K261" i="6"/>
  <c r="I254" i="6"/>
  <c r="K254" i="6" s="1"/>
  <c r="R357" i="6"/>
  <c r="U357" i="6" s="1"/>
  <c r="U359" i="6"/>
  <c r="J675" i="4"/>
  <c r="S335" i="1"/>
  <c r="L79" i="4"/>
  <c r="O79" i="4" s="1"/>
  <c r="P195" i="5"/>
  <c r="M193" i="5"/>
  <c r="P193" i="5" s="1"/>
  <c r="Q269" i="5"/>
  <c r="Q267" i="5" s="1"/>
  <c r="Q270" i="5"/>
  <c r="T270" i="5" s="1"/>
  <c r="K441" i="5"/>
  <c r="I424" i="5"/>
  <c r="K424" i="5" s="1"/>
  <c r="P48" i="6"/>
  <c r="M51" i="6"/>
  <c r="P51" i="6" s="1"/>
  <c r="M27" i="6"/>
  <c r="P27" i="6" s="1"/>
  <c r="P53" i="6"/>
  <c r="M47" i="6"/>
  <c r="T96" i="6"/>
  <c r="M98" i="6"/>
  <c r="P98" i="6" s="1"/>
  <c r="M97" i="6"/>
  <c r="P100" i="6"/>
  <c r="O159" i="6"/>
  <c r="R161" i="6"/>
  <c r="U161" i="6" s="1"/>
  <c r="U163" i="6"/>
  <c r="R160" i="6"/>
  <c r="U160" i="6" s="1"/>
  <c r="T284" i="6"/>
  <c r="Q283" i="6"/>
  <c r="T283" i="6" s="1"/>
  <c r="K315" i="6"/>
  <c r="I303" i="6"/>
  <c r="K303" i="6" s="1"/>
  <c r="L142" i="1"/>
  <c r="S417" i="1"/>
  <c r="U23" i="6"/>
  <c r="T192" i="3"/>
  <c r="R270" i="5"/>
  <c r="U270" i="5" s="1"/>
  <c r="R269" i="5"/>
  <c r="R267" i="5" s="1"/>
  <c r="O20" i="6"/>
  <c r="O23" i="6"/>
  <c r="O26" i="6"/>
  <c r="P46" i="6"/>
  <c r="N121" i="6"/>
  <c r="N120" i="6"/>
  <c r="N118" i="6" s="1"/>
  <c r="M310" i="6"/>
  <c r="P310" i="6" s="1"/>
  <c r="M306" i="6"/>
  <c r="P312" i="6"/>
  <c r="S121" i="4"/>
  <c r="S120" i="4"/>
  <c r="S118" i="4" s="1"/>
  <c r="T189" i="6"/>
  <c r="Q187" i="6"/>
  <c r="T187" i="6" s="1"/>
  <c r="S270" i="6"/>
  <c r="T272" i="6"/>
  <c r="S269" i="6"/>
  <c r="S267" i="6" s="1"/>
  <c r="M161" i="5"/>
  <c r="P161" i="5" s="1"/>
  <c r="U26" i="6"/>
  <c r="R25" i="6"/>
  <c r="U25" i="6" s="1"/>
  <c r="L51" i="6"/>
  <c r="O51" i="6" s="1"/>
  <c r="L27" i="6"/>
  <c r="O27" i="6" s="1"/>
  <c r="O53" i="6"/>
  <c r="L47" i="6"/>
  <c r="S98" i="6"/>
  <c r="T98" i="6" s="1"/>
  <c r="U100" i="6"/>
  <c r="S97" i="6"/>
  <c r="S24" i="6"/>
  <c r="S21" i="6" s="1"/>
  <c r="S19" i="6" s="1"/>
  <c r="P362" i="5"/>
  <c r="P20" i="6"/>
  <c r="P23" i="6"/>
  <c r="P26" i="6"/>
  <c r="P61" i="6"/>
  <c r="U175" i="6"/>
  <c r="K210" i="6"/>
  <c r="I203" i="6"/>
  <c r="K203" i="6" s="1"/>
  <c r="I266" i="6"/>
  <c r="K266" i="6" s="1"/>
  <c r="K277" i="6"/>
  <c r="K230" i="5"/>
  <c r="I222" i="5"/>
  <c r="K222" i="5" s="1"/>
  <c r="M732" i="1"/>
  <c r="P732" i="1" s="1"/>
  <c r="Q189" i="5"/>
  <c r="Q187" i="5" s="1"/>
  <c r="N359" i="5"/>
  <c r="N357" i="5" s="1"/>
  <c r="O362" i="5"/>
  <c r="N360" i="5"/>
  <c r="O360" i="5" s="1"/>
  <c r="M63" i="6"/>
  <c r="P63" i="6" s="1"/>
  <c r="P65" i="6"/>
  <c r="M24" i="6"/>
  <c r="M62" i="6"/>
  <c r="L120" i="6"/>
  <c r="O120" i="6" s="1"/>
  <c r="O175" i="6"/>
  <c r="R177" i="6"/>
  <c r="U177" i="6" s="1"/>
  <c r="U179" i="6"/>
  <c r="R176" i="6"/>
  <c r="U176" i="6" s="1"/>
  <c r="L273" i="6"/>
  <c r="O273" i="6" s="1"/>
  <c r="O275" i="6"/>
  <c r="T192" i="5"/>
  <c r="O65" i="6"/>
  <c r="T75" i="6"/>
  <c r="L161" i="6"/>
  <c r="O161" i="6" s="1"/>
  <c r="O163" i="6"/>
  <c r="T163" i="6"/>
  <c r="L177" i="6"/>
  <c r="O177" i="6" s="1"/>
  <c r="O179" i="6"/>
  <c r="T179" i="6"/>
  <c r="O188" i="6"/>
  <c r="M273" i="6"/>
  <c r="P273" i="6" s="1"/>
  <c r="P275" i="6"/>
  <c r="P288" i="6"/>
  <c r="S190" i="5"/>
  <c r="T190" i="5" s="1"/>
  <c r="L237" i="5"/>
  <c r="J352" i="5"/>
  <c r="I759" i="5"/>
  <c r="K759" i="5" s="1"/>
  <c r="Q24" i="6"/>
  <c r="L62" i="6"/>
  <c r="S73" i="6"/>
  <c r="S76" i="6"/>
  <c r="T78" i="6"/>
  <c r="R121" i="6"/>
  <c r="U121" i="6" s="1"/>
  <c r="U123" i="6"/>
  <c r="P163" i="6"/>
  <c r="L164" i="6"/>
  <c r="O164" i="6" s="1"/>
  <c r="O166" i="6"/>
  <c r="P179" i="6"/>
  <c r="L180" i="6"/>
  <c r="O180" i="6" s="1"/>
  <c r="O182" i="6"/>
  <c r="N190" i="6"/>
  <c r="P190" i="6" s="1"/>
  <c r="P192" i="6"/>
  <c r="L204" i="6"/>
  <c r="O204" i="6" s="1"/>
  <c r="L244" i="6"/>
  <c r="L234" i="6"/>
  <c r="U268" i="6"/>
  <c r="O291" i="6"/>
  <c r="L285" i="6"/>
  <c r="M376" i="6"/>
  <c r="P376" i="6" s="1"/>
  <c r="P378" i="6"/>
  <c r="P309" i="5"/>
  <c r="K370" i="5"/>
  <c r="M76" i="6"/>
  <c r="P76" i="6" s="1"/>
  <c r="P78" i="6"/>
  <c r="K86" i="6"/>
  <c r="I84" i="6"/>
  <c r="R118" i="6"/>
  <c r="L255" i="6"/>
  <c r="O255" i="6" s="1"/>
  <c r="O268" i="6"/>
  <c r="P305" i="6"/>
  <c r="L215" i="5"/>
  <c r="O215" i="5" s="1"/>
  <c r="Q731" i="5"/>
  <c r="Q729" i="5" s="1"/>
  <c r="M79" i="6"/>
  <c r="P79" i="6" s="1"/>
  <c r="P81" i="6"/>
  <c r="L121" i="6"/>
  <c r="O121" i="6" s="1"/>
  <c r="O123" i="6"/>
  <c r="I214" i="6"/>
  <c r="K214" i="6" s="1"/>
  <c r="P284" i="6"/>
  <c r="O337" i="6"/>
  <c r="K345" i="6"/>
  <c r="J344" i="6"/>
  <c r="T381" i="6"/>
  <c r="Q378" i="6"/>
  <c r="Q379" i="6"/>
  <c r="T379" i="6" s="1"/>
  <c r="L235" i="6"/>
  <c r="K281" i="6"/>
  <c r="P307" i="6"/>
  <c r="T309" i="6"/>
  <c r="S307" i="6"/>
  <c r="U307" i="6" s="1"/>
  <c r="K347" i="6"/>
  <c r="N363" i="6"/>
  <c r="T377" i="6"/>
  <c r="L691" i="6"/>
  <c r="O691" i="6" s="1"/>
  <c r="O693" i="6"/>
  <c r="U335" i="6"/>
  <c r="R334" i="6"/>
  <c r="U334" i="6" s="1"/>
  <c r="U377" i="6"/>
  <c r="L617" i="6"/>
  <c r="O617" i="6" s="1"/>
  <c r="O618" i="6"/>
  <c r="L643" i="6"/>
  <c r="O643" i="6" s="1"/>
  <c r="O645" i="6"/>
  <c r="M270" i="6"/>
  <c r="P270" i="6" s="1"/>
  <c r="P272" i="6"/>
  <c r="T322" i="6"/>
  <c r="Q321" i="6"/>
  <c r="T321" i="6" s="1"/>
  <c r="J333" i="6"/>
  <c r="K333" i="6" s="1"/>
  <c r="O335" i="6"/>
  <c r="O339" i="6"/>
  <c r="O362" i="6"/>
  <c r="O365" i="6"/>
  <c r="O377" i="6"/>
  <c r="L376" i="6"/>
  <c r="O376" i="6" s="1"/>
  <c r="T415" i="6"/>
  <c r="I239" i="6"/>
  <c r="K239" i="6" s="1"/>
  <c r="U272" i="6"/>
  <c r="S283" i="6"/>
  <c r="K294" i="6"/>
  <c r="J281" i="6"/>
  <c r="P309" i="6"/>
  <c r="L336" i="6"/>
  <c r="I375" i="6"/>
  <c r="O326" i="6"/>
  <c r="P339" i="6"/>
  <c r="M359" i="6"/>
  <c r="P365" i="6"/>
  <c r="O496" i="6"/>
  <c r="O557" i="6"/>
  <c r="T579" i="6"/>
  <c r="M617" i="6"/>
  <c r="P617" i="6" s="1"/>
  <c r="M643" i="6"/>
  <c r="P643" i="6" s="1"/>
  <c r="P645" i="6"/>
  <c r="K679" i="6"/>
  <c r="M691" i="6"/>
  <c r="P691" i="6" s="1"/>
  <c r="P693" i="6"/>
  <c r="Q715" i="6"/>
  <c r="T715" i="6" s="1"/>
  <c r="T717" i="6"/>
  <c r="U732" i="6"/>
  <c r="M516" i="6"/>
  <c r="P516" i="6" s="1"/>
  <c r="T557" i="6"/>
  <c r="Q556" i="6"/>
  <c r="T556" i="6" s="1"/>
  <c r="T622" i="6"/>
  <c r="Q619" i="6"/>
  <c r="Q620" i="6"/>
  <c r="T620" i="6" s="1"/>
  <c r="K633" i="6"/>
  <c r="K632" i="6"/>
  <c r="K631" i="6"/>
  <c r="K627" i="6"/>
  <c r="K630" i="6"/>
  <c r="K708" i="6"/>
  <c r="O522" i="6"/>
  <c r="L516" i="6"/>
  <c r="T644" i="6"/>
  <c r="T692" i="6"/>
  <c r="T618" i="6"/>
  <c r="O415" i="6"/>
  <c r="T419" i="6"/>
  <c r="U499" i="6"/>
  <c r="S514" i="6"/>
  <c r="M556" i="6"/>
  <c r="P556" i="6" s="1"/>
  <c r="U557" i="6"/>
  <c r="N600" i="6"/>
  <c r="I616" i="6"/>
  <c r="K616" i="6" s="1"/>
  <c r="U618" i="6"/>
  <c r="I702" i="6"/>
  <c r="S731" i="6"/>
  <c r="S729" i="6" s="1"/>
  <c r="U734" i="6"/>
  <c r="L760" i="6"/>
  <c r="O760" i="6" s="1"/>
  <c r="O762" i="6"/>
  <c r="K774" i="6"/>
  <c r="R417" i="6"/>
  <c r="U417" i="6" s="1"/>
  <c r="R620" i="6"/>
  <c r="U620" i="6" s="1"/>
  <c r="Q646" i="6"/>
  <c r="T646" i="6" s="1"/>
  <c r="Q694" i="6"/>
  <c r="R619" i="6"/>
  <c r="Q645" i="6"/>
  <c r="Q693" i="6"/>
  <c r="I196" i="5"/>
  <c r="K196" i="5" s="1"/>
  <c r="K199" i="5"/>
  <c r="M124" i="4"/>
  <c r="P124" i="4" s="1"/>
  <c r="P126" i="4"/>
  <c r="R24" i="5"/>
  <c r="R22" i="5" s="1"/>
  <c r="R76" i="5"/>
  <c r="U76" i="5" s="1"/>
  <c r="N193" i="5"/>
  <c r="L363" i="5"/>
  <c r="O363" i="5" s="1"/>
  <c r="O365" i="5"/>
  <c r="S731" i="5"/>
  <c r="S729" i="5" s="1"/>
  <c r="S732" i="5"/>
  <c r="T732" i="5" s="1"/>
  <c r="S620" i="4"/>
  <c r="S619" i="4"/>
  <c r="S617" i="4" s="1"/>
  <c r="P81" i="5"/>
  <c r="M79" i="5"/>
  <c r="P79" i="5" s="1"/>
  <c r="L161" i="5"/>
  <c r="O161" i="5" s="1"/>
  <c r="O163" i="5"/>
  <c r="L160" i="5"/>
  <c r="L158" i="5" s="1"/>
  <c r="R143" i="5"/>
  <c r="U143" i="5" s="1"/>
  <c r="U145" i="5"/>
  <c r="R121" i="4"/>
  <c r="R120" i="4"/>
  <c r="R118" i="4" s="1"/>
  <c r="I157" i="5"/>
  <c r="K157" i="5" s="1"/>
  <c r="I170" i="5"/>
  <c r="K170" i="5" s="1"/>
  <c r="I169" i="5"/>
  <c r="K169" i="5" s="1"/>
  <c r="L307" i="5"/>
  <c r="K630" i="5"/>
  <c r="K631" i="5"/>
  <c r="I616" i="5"/>
  <c r="K616" i="5" s="1"/>
  <c r="K155" i="3"/>
  <c r="I137" i="3"/>
  <c r="K137" i="3" s="1"/>
  <c r="L101" i="4"/>
  <c r="O101" i="4" s="1"/>
  <c r="L97" i="4"/>
  <c r="O97" i="4" s="1"/>
  <c r="K253" i="4"/>
  <c r="I242" i="4"/>
  <c r="K242" i="4" s="1"/>
  <c r="L164" i="5"/>
  <c r="O164" i="5" s="1"/>
  <c r="O166" i="5"/>
  <c r="K168" i="5"/>
  <c r="N177" i="5"/>
  <c r="P177" i="5" s="1"/>
  <c r="N176" i="5"/>
  <c r="N174" i="5" s="1"/>
  <c r="K184" i="5"/>
  <c r="I173" i="5"/>
  <c r="K173" i="5" s="1"/>
  <c r="P329" i="5"/>
  <c r="M323" i="5"/>
  <c r="M321" i="5" s="1"/>
  <c r="P321" i="5" s="1"/>
  <c r="M327" i="5"/>
  <c r="P327" i="5" s="1"/>
  <c r="K369" i="3"/>
  <c r="P100" i="5"/>
  <c r="M97" i="5"/>
  <c r="P97" i="5" s="1"/>
  <c r="P166" i="5"/>
  <c r="M160" i="5"/>
  <c r="M164" i="5"/>
  <c r="P164" i="5" s="1"/>
  <c r="P275" i="5"/>
  <c r="M273" i="5"/>
  <c r="P273" i="5" s="1"/>
  <c r="N327" i="5"/>
  <c r="N323" i="5"/>
  <c r="N321" i="5" s="1"/>
  <c r="O195" i="4"/>
  <c r="P65" i="5"/>
  <c r="L204" i="5"/>
  <c r="O204" i="5" s="1"/>
  <c r="I239" i="5"/>
  <c r="K239" i="5" s="1"/>
  <c r="P286" i="5"/>
  <c r="R378" i="5"/>
  <c r="U378" i="5" s="1"/>
  <c r="K778" i="5"/>
  <c r="M306" i="4"/>
  <c r="M304" i="4" s="1"/>
  <c r="O362" i="4"/>
  <c r="S189" i="5"/>
  <c r="N285" i="5"/>
  <c r="N283" i="5" s="1"/>
  <c r="L189" i="4"/>
  <c r="L187" i="4" s="1"/>
  <c r="M24" i="5"/>
  <c r="M22" i="5" s="1"/>
  <c r="N24" i="5"/>
  <c r="N22" i="5" s="1"/>
  <c r="L244" i="5"/>
  <c r="O244" i="5" s="1"/>
  <c r="L236" i="5"/>
  <c r="J375" i="5"/>
  <c r="I83" i="5"/>
  <c r="K83" i="5" s="1"/>
  <c r="Q97" i="5"/>
  <c r="T97" i="5" s="1"/>
  <c r="N336" i="5"/>
  <c r="N334" i="5" s="1"/>
  <c r="M360" i="5"/>
  <c r="T381" i="5"/>
  <c r="S307" i="5"/>
  <c r="T307" i="5" s="1"/>
  <c r="S306" i="5"/>
  <c r="L306" i="3"/>
  <c r="L304" i="3" s="1"/>
  <c r="R97" i="4"/>
  <c r="R95" i="4" s="1"/>
  <c r="L146" i="4"/>
  <c r="O146" i="4" s="1"/>
  <c r="O166" i="4"/>
  <c r="K369" i="4"/>
  <c r="Q378" i="4"/>
  <c r="K89" i="5"/>
  <c r="L121" i="5"/>
  <c r="O121" i="5" s="1"/>
  <c r="O123" i="5"/>
  <c r="L120" i="5"/>
  <c r="O120" i="5" s="1"/>
  <c r="M269" i="5"/>
  <c r="M267" i="5" s="1"/>
  <c r="T309" i="5"/>
  <c r="O329" i="5"/>
  <c r="L327" i="5"/>
  <c r="O327" i="5" s="1"/>
  <c r="J333" i="5"/>
  <c r="Q497" i="5"/>
  <c r="T497" i="5" s="1"/>
  <c r="Q496" i="5"/>
  <c r="T499" i="5"/>
  <c r="T163" i="5"/>
  <c r="Q161" i="5"/>
  <c r="T161" i="5" s="1"/>
  <c r="Q160" i="5"/>
  <c r="R177" i="5"/>
  <c r="U177" i="5" s="1"/>
  <c r="U179" i="5"/>
  <c r="R176" i="5"/>
  <c r="U176" i="5" s="1"/>
  <c r="L270" i="5"/>
  <c r="O270" i="5" s="1"/>
  <c r="L269" i="5"/>
  <c r="O269" i="5" s="1"/>
  <c r="O288" i="5"/>
  <c r="L285" i="5"/>
  <c r="L283" i="5" s="1"/>
  <c r="M306" i="3"/>
  <c r="M304" i="3" s="1"/>
  <c r="R75" i="4"/>
  <c r="U75" i="4" s="1"/>
  <c r="R142" i="4"/>
  <c r="R140" i="4" s="1"/>
  <c r="U140" i="4" s="1"/>
  <c r="Q160" i="4"/>
  <c r="T160" i="4" s="1"/>
  <c r="L160" i="4"/>
  <c r="O160" i="4" s="1"/>
  <c r="M164" i="4"/>
  <c r="P164" i="4" s="1"/>
  <c r="L269" i="4"/>
  <c r="O269" i="4" s="1"/>
  <c r="Q24" i="5"/>
  <c r="M27" i="5"/>
  <c r="M51" i="5"/>
  <c r="P51" i="5" s="1"/>
  <c r="M63" i="5"/>
  <c r="P63" i="5" s="1"/>
  <c r="S76" i="5"/>
  <c r="R98" i="5"/>
  <c r="U98" i="5" s="1"/>
  <c r="U100" i="5"/>
  <c r="R97" i="5"/>
  <c r="U97" i="5" s="1"/>
  <c r="R118" i="5"/>
  <c r="I117" i="5"/>
  <c r="K117" i="5" s="1"/>
  <c r="K128" i="5"/>
  <c r="K153" i="5"/>
  <c r="I138" i="5"/>
  <c r="K138" i="5" s="1"/>
  <c r="M336" i="5"/>
  <c r="M334" i="5" s="1"/>
  <c r="P342" i="5"/>
  <c r="M340" i="5"/>
  <c r="P340" i="5" s="1"/>
  <c r="T419" i="5"/>
  <c r="Q416" i="5"/>
  <c r="T416" i="5" s="1"/>
  <c r="R694" i="5"/>
  <c r="U694" i="5" s="1"/>
  <c r="R693" i="5"/>
  <c r="U696" i="5"/>
  <c r="T765" i="5"/>
  <c r="Q763" i="5"/>
  <c r="T763" i="5" s="1"/>
  <c r="Q762" i="5"/>
  <c r="T762" i="5" s="1"/>
  <c r="O288" i="4"/>
  <c r="P50" i="5"/>
  <c r="M75" i="5"/>
  <c r="M73" i="5" s="1"/>
  <c r="P73" i="5" s="1"/>
  <c r="S97" i="5"/>
  <c r="S95" i="5" s="1"/>
  <c r="T100" i="5"/>
  <c r="S98" i="5"/>
  <c r="L124" i="5"/>
  <c r="O124" i="5" s="1"/>
  <c r="O126" i="5"/>
  <c r="L190" i="5"/>
  <c r="L189" i="5"/>
  <c r="K221" i="5"/>
  <c r="I214" i="5"/>
  <c r="K214" i="5" s="1"/>
  <c r="S379" i="5"/>
  <c r="T379" i="5" s="1"/>
  <c r="S378" i="5"/>
  <c r="S376" i="5" s="1"/>
  <c r="N516" i="5"/>
  <c r="N514" i="5" s="1"/>
  <c r="N520" i="5"/>
  <c r="R646" i="5"/>
  <c r="U646" i="5" s="1"/>
  <c r="U648" i="5"/>
  <c r="R645" i="5"/>
  <c r="U645" i="5" s="1"/>
  <c r="L101" i="5"/>
  <c r="O101" i="5" s="1"/>
  <c r="O103" i="5"/>
  <c r="T123" i="5"/>
  <c r="S121" i="5"/>
  <c r="T121" i="5" s="1"/>
  <c r="S120" i="5"/>
  <c r="S118" i="5" s="1"/>
  <c r="K345" i="5"/>
  <c r="I333" i="5"/>
  <c r="Q97" i="3"/>
  <c r="Q95" i="3" s="1"/>
  <c r="T95" i="3" s="1"/>
  <c r="R417" i="4"/>
  <c r="U417" i="4" s="1"/>
  <c r="L62" i="5"/>
  <c r="L60" i="5" s="1"/>
  <c r="L98" i="5"/>
  <c r="O98" i="5" s="1"/>
  <c r="O100" i="5"/>
  <c r="M190" i="5"/>
  <c r="M189" i="5"/>
  <c r="O312" i="5"/>
  <c r="L310" i="5"/>
  <c r="O310" i="5" s="1"/>
  <c r="I320" i="5"/>
  <c r="K320" i="5" s="1"/>
  <c r="L340" i="5"/>
  <c r="O340" i="5" s="1"/>
  <c r="S646" i="5"/>
  <c r="S645" i="5"/>
  <c r="S643" i="5" s="1"/>
  <c r="U98" i="4"/>
  <c r="T648" i="4"/>
  <c r="L76" i="5"/>
  <c r="O76" i="5" s="1"/>
  <c r="U78" i="5"/>
  <c r="R75" i="5"/>
  <c r="U75" i="5" s="1"/>
  <c r="I93" i="5"/>
  <c r="K93" i="5" s="1"/>
  <c r="K109" i="5"/>
  <c r="R121" i="5"/>
  <c r="U123" i="5"/>
  <c r="T179" i="5"/>
  <c r="Q177" i="5"/>
  <c r="T177" i="5" s="1"/>
  <c r="Q176" i="5"/>
  <c r="L289" i="5"/>
  <c r="O289" i="5" s="1"/>
  <c r="O519" i="5"/>
  <c r="L517" i="5"/>
  <c r="O517" i="5" s="1"/>
  <c r="K785" i="5"/>
  <c r="O145" i="5"/>
  <c r="S174" i="5"/>
  <c r="P192" i="5"/>
  <c r="O337" i="5"/>
  <c r="J675" i="5"/>
  <c r="J702" i="5"/>
  <c r="K780" i="5"/>
  <c r="I84" i="5"/>
  <c r="K84" i="5" s="1"/>
  <c r="R160" i="5"/>
  <c r="U160" i="5" s="1"/>
  <c r="S177" i="5"/>
  <c r="P179" i="5"/>
  <c r="K347" i="5"/>
  <c r="J504" i="5"/>
  <c r="J493" i="5" s="1"/>
  <c r="K781" i="5"/>
  <c r="K88" i="5"/>
  <c r="M101" i="5"/>
  <c r="P101" i="5" s="1"/>
  <c r="M120" i="5"/>
  <c r="P120" i="5" s="1"/>
  <c r="M124" i="5"/>
  <c r="P124" i="5" s="1"/>
  <c r="L176" i="5"/>
  <c r="N190" i="5"/>
  <c r="P288" i="5"/>
  <c r="M121" i="5"/>
  <c r="P121" i="5" s="1"/>
  <c r="O143" i="5"/>
  <c r="U163" i="5"/>
  <c r="O179" i="5"/>
  <c r="O182" i="5"/>
  <c r="L223" i="5"/>
  <c r="O223" i="5" s="1"/>
  <c r="L255" i="5"/>
  <c r="O255" i="5" s="1"/>
  <c r="L359" i="5"/>
  <c r="K369" i="5"/>
  <c r="S496" i="5"/>
  <c r="S494" i="5" s="1"/>
  <c r="K627" i="5"/>
  <c r="K708" i="5"/>
  <c r="K728" i="5"/>
  <c r="S762" i="5"/>
  <c r="S760" i="5" s="1"/>
  <c r="U765" i="5"/>
  <c r="K779" i="5"/>
  <c r="K784" i="5"/>
  <c r="O63" i="5"/>
  <c r="N51" i="5"/>
  <c r="N27" i="5"/>
  <c r="N25" i="5" s="1"/>
  <c r="I94" i="5"/>
  <c r="K94" i="5" s="1"/>
  <c r="K110" i="5"/>
  <c r="P175" i="5"/>
  <c r="P65" i="4"/>
  <c r="R76" i="4"/>
  <c r="U76" i="4" s="1"/>
  <c r="M75" i="4"/>
  <c r="M73" i="4" s="1"/>
  <c r="I137" i="4"/>
  <c r="K137" i="4" s="1"/>
  <c r="S189" i="4"/>
  <c r="U189" i="4" s="1"/>
  <c r="K199" i="4"/>
  <c r="L234" i="4"/>
  <c r="L255" i="4"/>
  <c r="O255" i="4" s="1"/>
  <c r="U419" i="4"/>
  <c r="I758" i="4"/>
  <c r="K758" i="4" s="1"/>
  <c r="Q45" i="5"/>
  <c r="T45" i="5" s="1"/>
  <c r="M47" i="5"/>
  <c r="Q60" i="5"/>
  <c r="T60" i="5" s="1"/>
  <c r="M62" i="5"/>
  <c r="N75" i="5"/>
  <c r="N73" i="5" s="1"/>
  <c r="U96" i="5"/>
  <c r="N120" i="5"/>
  <c r="N118" i="5" s="1"/>
  <c r="O148" i="5"/>
  <c r="I758" i="3"/>
  <c r="K758" i="3" s="1"/>
  <c r="K109" i="4"/>
  <c r="L237" i="4"/>
  <c r="L340" i="4"/>
  <c r="O340" i="4" s="1"/>
  <c r="P342" i="4"/>
  <c r="N360" i="4"/>
  <c r="O360" i="4" s="1"/>
  <c r="Q497" i="4"/>
  <c r="T497" i="4" s="1"/>
  <c r="Q645" i="4"/>
  <c r="M20" i="5"/>
  <c r="L24" i="5"/>
  <c r="S24" i="5"/>
  <c r="S22" i="5" s="1"/>
  <c r="Q25" i="5"/>
  <c r="T25" i="5" s="1"/>
  <c r="N47" i="5"/>
  <c r="N45" i="5" s="1"/>
  <c r="N62" i="5"/>
  <c r="M76" i="5"/>
  <c r="P76" i="5" s="1"/>
  <c r="L97" i="5"/>
  <c r="O97" i="5" s="1"/>
  <c r="O159" i="5"/>
  <c r="K366" i="5"/>
  <c r="I117" i="3"/>
  <c r="K117" i="3" s="1"/>
  <c r="I239" i="3"/>
  <c r="K239" i="3" s="1"/>
  <c r="O522" i="3"/>
  <c r="L51" i="4"/>
  <c r="O51" i="4" s="1"/>
  <c r="T123" i="4"/>
  <c r="P177" i="4"/>
  <c r="S416" i="4"/>
  <c r="S414" i="4" s="1"/>
  <c r="I616" i="4"/>
  <c r="K616" i="4" s="1"/>
  <c r="R645" i="4"/>
  <c r="R643" i="4" s="1"/>
  <c r="T646" i="4"/>
  <c r="U648" i="4"/>
  <c r="K654" i="4"/>
  <c r="N20" i="5"/>
  <c r="T74" i="5"/>
  <c r="Q75" i="5"/>
  <c r="T75" i="5" s="1"/>
  <c r="T78" i="5"/>
  <c r="P96" i="5"/>
  <c r="M517" i="2"/>
  <c r="P517" i="2" s="1"/>
  <c r="R143" i="3"/>
  <c r="U143" i="3" s="1"/>
  <c r="O50" i="4"/>
  <c r="O143" i="4"/>
  <c r="T192" i="4"/>
  <c r="M336" i="4"/>
  <c r="M334" i="4" s="1"/>
  <c r="L517" i="4"/>
  <c r="O517" i="4" s="1"/>
  <c r="N48" i="5"/>
  <c r="P48" i="5" s="1"/>
  <c r="O50" i="5"/>
  <c r="O65" i="5"/>
  <c r="L79" i="5"/>
  <c r="O79" i="5" s="1"/>
  <c r="N97" i="5"/>
  <c r="N95" i="5" s="1"/>
  <c r="L142" i="5"/>
  <c r="S142" i="5"/>
  <c r="S140" i="5" s="1"/>
  <c r="M143" i="5"/>
  <c r="P143" i="5" s="1"/>
  <c r="P145" i="5"/>
  <c r="I457" i="3"/>
  <c r="K457" i="3" s="1"/>
  <c r="I493" i="3"/>
  <c r="K493" i="3" s="1"/>
  <c r="P48" i="4"/>
  <c r="N75" i="4"/>
  <c r="U192" i="4"/>
  <c r="K781" i="4"/>
  <c r="L27" i="5"/>
  <c r="L75" i="5"/>
  <c r="I137" i="5"/>
  <c r="K137" i="5" s="1"/>
  <c r="M142" i="5"/>
  <c r="U142" i="5"/>
  <c r="M146" i="5"/>
  <c r="P146" i="5" s="1"/>
  <c r="P148" i="5"/>
  <c r="I243" i="5"/>
  <c r="K250" i="5"/>
  <c r="I266" i="5"/>
  <c r="K266" i="5" s="1"/>
  <c r="S269" i="5"/>
  <c r="P272" i="5"/>
  <c r="T272" i="5"/>
  <c r="O275" i="5"/>
  <c r="S283" i="5"/>
  <c r="L286" i="5"/>
  <c r="O286" i="5" s="1"/>
  <c r="I303" i="5"/>
  <c r="K303" i="5" s="1"/>
  <c r="N307" i="5"/>
  <c r="P307" i="5" s="1"/>
  <c r="L324" i="5"/>
  <c r="O324" i="5" s="1"/>
  <c r="Q334" i="5"/>
  <c r="T334" i="5" s="1"/>
  <c r="P339" i="5"/>
  <c r="R357" i="5"/>
  <c r="U357" i="5" s="1"/>
  <c r="I375" i="5"/>
  <c r="R393" i="5"/>
  <c r="U393" i="5" s="1"/>
  <c r="U419" i="5"/>
  <c r="R416" i="5"/>
  <c r="U416" i="5" s="1"/>
  <c r="R417" i="5"/>
  <c r="U417" i="5" s="1"/>
  <c r="P495" i="5"/>
  <c r="O537" i="5"/>
  <c r="L535" i="5"/>
  <c r="O535" i="5" s="1"/>
  <c r="N269" i="5"/>
  <c r="U272" i="5"/>
  <c r="L306" i="5"/>
  <c r="L304" i="5" s="1"/>
  <c r="R306" i="5"/>
  <c r="L336" i="5"/>
  <c r="J344" i="5"/>
  <c r="P365" i="5"/>
  <c r="M359" i="5"/>
  <c r="K372" i="5"/>
  <c r="Q378" i="5"/>
  <c r="L393" i="5"/>
  <c r="O393" i="5" s="1"/>
  <c r="P515" i="5"/>
  <c r="O192" i="5"/>
  <c r="U192" i="5"/>
  <c r="O195" i="5"/>
  <c r="O272" i="5"/>
  <c r="M306" i="5"/>
  <c r="U309" i="5"/>
  <c r="P312" i="5"/>
  <c r="T322" i="5"/>
  <c r="O339" i="5"/>
  <c r="L376" i="5"/>
  <c r="O376" i="5" s="1"/>
  <c r="P415" i="5"/>
  <c r="Q417" i="5"/>
  <c r="T417" i="5" s="1"/>
  <c r="O496" i="5"/>
  <c r="I203" i="5"/>
  <c r="K203" i="5" s="1"/>
  <c r="I254" i="5"/>
  <c r="K254" i="5" s="1"/>
  <c r="R283" i="5"/>
  <c r="U283" i="5" s="1"/>
  <c r="P284" i="5"/>
  <c r="M285" i="5"/>
  <c r="N306" i="5"/>
  <c r="N304" i="5" s="1"/>
  <c r="R497" i="5"/>
  <c r="U497" i="5" s="1"/>
  <c r="U499" i="5"/>
  <c r="M270" i="5"/>
  <c r="P270" i="5" s="1"/>
  <c r="L323" i="5"/>
  <c r="R334" i="5"/>
  <c r="U334" i="5" s="1"/>
  <c r="M337" i="5"/>
  <c r="P337" i="5" s="1"/>
  <c r="M393" i="5"/>
  <c r="P393" i="5" s="1"/>
  <c r="L414" i="5"/>
  <c r="O414" i="5" s="1"/>
  <c r="I457" i="5"/>
  <c r="K457" i="5" s="1"/>
  <c r="K458" i="5"/>
  <c r="R496" i="5"/>
  <c r="P519" i="5"/>
  <c r="M516" i="5"/>
  <c r="P516" i="5" s="1"/>
  <c r="R556" i="5"/>
  <c r="U556" i="5" s="1"/>
  <c r="U557" i="5"/>
  <c r="P522" i="5"/>
  <c r="R535" i="5"/>
  <c r="U535" i="5" s="1"/>
  <c r="U618" i="5"/>
  <c r="U622" i="5"/>
  <c r="R619" i="5"/>
  <c r="R620" i="5"/>
  <c r="U620" i="5" s="1"/>
  <c r="O644" i="5"/>
  <c r="L643" i="5"/>
  <c r="O643" i="5" s="1"/>
  <c r="M691" i="5"/>
  <c r="P691" i="5" s="1"/>
  <c r="P693" i="5"/>
  <c r="T734" i="5"/>
  <c r="T761" i="5"/>
  <c r="T696" i="5"/>
  <c r="Q693" i="5"/>
  <c r="Q694" i="5"/>
  <c r="T694" i="5" s="1"/>
  <c r="U734" i="5"/>
  <c r="O618" i="5"/>
  <c r="L617" i="5"/>
  <c r="O617" i="5" s="1"/>
  <c r="M643" i="5"/>
  <c r="P643" i="5" s="1"/>
  <c r="P645" i="5"/>
  <c r="T692" i="5"/>
  <c r="O522" i="5"/>
  <c r="L516" i="5"/>
  <c r="P618" i="5"/>
  <c r="M617" i="5"/>
  <c r="P617" i="5" s="1"/>
  <c r="T648" i="5"/>
  <c r="Q645" i="5"/>
  <c r="T645" i="5" s="1"/>
  <c r="Q646" i="5"/>
  <c r="T646" i="5" s="1"/>
  <c r="K690" i="5"/>
  <c r="U692" i="5"/>
  <c r="K706" i="5"/>
  <c r="Q715" i="5"/>
  <c r="T715" i="5" s="1"/>
  <c r="T717" i="5"/>
  <c r="Q600" i="5"/>
  <c r="T600" i="5" s="1"/>
  <c r="T602" i="5"/>
  <c r="T644" i="5"/>
  <c r="O692" i="5"/>
  <c r="L691" i="5"/>
  <c r="O691" i="5" s="1"/>
  <c r="L760" i="5"/>
  <c r="O760" i="5" s="1"/>
  <c r="O762" i="5"/>
  <c r="Q556" i="5"/>
  <c r="T556" i="5" s="1"/>
  <c r="O557" i="5"/>
  <c r="Q577" i="5"/>
  <c r="T577" i="5" s="1"/>
  <c r="T579" i="5"/>
  <c r="T622" i="5"/>
  <c r="Q619" i="5"/>
  <c r="K633" i="5"/>
  <c r="K632" i="5"/>
  <c r="U644" i="5"/>
  <c r="K704" i="5"/>
  <c r="I702" i="5"/>
  <c r="L729" i="5"/>
  <c r="O729" i="5" s="1"/>
  <c r="I758" i="5"/>
  <c r="K758" i="5" s="1"/>
  <c r="Q189" i="4"/>
  <c r="Q187" i="4" s="1"/>
  <c r="N24" i="4"/>
  <c r="N22" i="4" s="1"/>
  <c r="M101" i="4"/>
  <c r="P101" i="4" s="1"/>
  <c r="Q176" i="4"/>
  <c r="T176" i="4" s="1"/>
  <c r="L204" i="4"/>
  <c r="O204" i="4" s="1"/>
  <c r="K780" i="4"/>
  <c r="M63" i="4"/>
  <c r="P63" i="4" s="1"/>
  <c r="R378" i="3"/>
  <c r="U378" i="3" s="1"/>
  <c r="I94" i="4"/>
  <c r="K94" i="4" s="1"/>
  <c r="S97" i="4"/>
  <c r="S95" i="4" s="1"/>
  <c r="R143" i="4"/>
  <c r="U143" i="4" s="1"/>
  <c r="K441" i="4"/>
  <c r="U499" i="4"/>
  <c r="J702" i="4"/>
  <c r="N215" i="1"/>
  <c r="J703" i="2"/>
  <c r="N97" i="3"/>
  <c r="N95" i="3" s="1"/>
  <c r="I173" i="3"/>
  <c r="K173" i="3" s="1"/>
  <c r="S304" i="3"/>
  <c r="L310" i="3"/>
  <c r="O310" i="3" s="1"/>
  <c r="O312" i="3"/>
  <c r="U381" i="3"/>
  <c r="I84" i="4"/>
  <c r="K84" i="4" s="1"/>
  <c r="S176" i="4"/>
  <c r="S174" i="4" s="1"/>
  <c r="M180" i="4"/>
  <c r="P180" i="4" s="1"/>
  <c r="O182" i="4"/>
  <c r="M193" i="4"/>
  <c r="P193" i="4" s="1"/>
  <c r="M289" i="4"/>
  <c r="P289" i="4" s="1"/>
  <c r="N336" i="4"/>
  <c r="N334" i="4" s="1"/>
  <c r="J703" i="4"/>
  <c r="Q121" i="4"/>
  <c r="O145" i="4"/>
  <c r="P192" i="4"/>
  <c r="P329" i="4"/>
  <c r="T381" i="4"/>
  <c r="R497" i="4"/>
  <c r="U497" i="4" s="1"/>
  <c r="L176" i="3"/>
  <c r="L174" i="3" s="1"/>
  <c r="L142" i="4"/>
  <c r="L140" i="4" s="1"/>
  <c r="L223" i="4"/>
  <c r="O223" i="4" s="1"/>
  <c r="L235" i="4"/>
  <c r="Q693" i="4"/>
  <c r="Q691" i="4" s="1"/>
  <c r="K782" i="4"/>
  <c r="K504" i="4"/>
  <c r="I493" i="4"/>
  <c r="K493" i="4" s="1"/>
  <c r="L176" i="2"/>
  <c r="L174" i="2" s="1"/>
  <c r="M273" i="2"/>
  <c r="P273" i="2" s="1"/>
  <c r="S176" i="3"/>
  <c r="S174" i="3" s="1"/>
  <c r="L236" i="3"/>
  <c r="P362" i="3"/>
  <c r="L27" i="4"/>
  <c r="O27" i="4" s="1"/>
  <c r="N142" i="4"/>
  <c r="S161" i="4"/>
  <c r="Q190" i="4"/>
  <c r="T190" i="4" s="1"/>
  <c r="K277" i="4"/>
  <c r="Q306" i="4"/>
  <c r="Q304" i="4" s="1"/>
  <c r="K708" i="4"/>
  <c r="I690" i="4"/>
  <c r="K690" i="4" s="1"/>
  <c r="Q731" i="4"/>
  <c r="Q729" i="4" s="1"/>
  <c r="U734" i="4"/>
  <c r="R732" i="4"/>
  <c r="S763" i="4"/>
  <c r="U763" i="4" s="1"/>
  <c r="U765" i="4"/>
  <c r="L583" i="1"/>
  <c r="O583" i="1" s="1"/>
  <c r="M269" i="2"/>
  <c r="M267" i="2" s="1"/>
  <c r="M160" i="3"/>
  <c r="M158" i="3" s="1"/>
  <c r="O192" i="3"/>
  <c r="P342" i="3"/>
  <c r="O65" i="4"/>
  <c r="L66" i="4"/>
  <c r="O66" i="4" s="1"/>
  <c r="N97" i="4"/>
  <c r="N95" i="4" s="1"/>
  <c r="I117" i="4"/>
  <c r="K117" i="4" s="1"/>
  <c r="M120" i="4"/>
  <c r="M121" i="4"/>
  <c r="P121" i="4" s="1"/>
  <c r="K170" i="4"/>
  <c r="L176" i="4"/>
  <c r="P179" i="4"/>
  <c r="R187" i="4"/>
  <c r="R190" i="4"/>
  <c r="U190" i="4" s="1"/>
  <c r="Q269" i="4"/>
  <c r="Q267" i="4" s="1"/>
  <c r="I281" i="4"/>
  <c r="K281" i="4" s="1"/>
  <c r="K293" i="4"/>
  <c r="R306" i="4"/>
  <c r="R304" i="4" s="1"/>
  <c r="O307" i="4"/>
  <c r="K315" i="4"/>
  <c r="L323" i="4"/>
  <c r="O323" i="4" s="1"/>
  <c r="K331" i="4"/>
  <c r="N359" i="4"/>
  <c r="N357" i="4" s="1"/>
  <c r="K674" i="4"/>
  <c r="R731" i="4"/>
  <c r="R729" i="4" s="1"/>
  <c r="T765" i="4"/>
  <c r="M336" i="3"/>
  <c r="M334" i="3" s="1"/>
  <c r="M517" i="3"/>
  <c r="P517" i="3" s="1"/>
  <c r="P50" i="4"/>
  <c r="L76" i="4"/>
  <c r="O76" i="4" s="1"/>
  <c r="P78" i="4"/>
  <c r="N120" i="4"/>
  <c r="N118" i="4" s="1"/>
  <c r="I138" i="4"/>
  <c r="K138" i="4" s="1"/>
  <c r="Q142" i="4"/>
  <c r="Q143" i="4"/>
  <c r="T143" i="4" s="1"/>
  <c r="P163" i="4"/>
  <c r="I173" i="4"/>
  <c r="K173" i="4" s="1"/>
  <c r="M176" i="4"/>
  <c r="L215" i="4"/>
  <c r="O215" i="4" s="1"/>
  <c r="I222" i="4"/>
  <c r="K222" i="4" s="1"/>
  <c r="I243" i="4"/>
  <c r="I254" i="4"/>
  <c r="K254" i="4" s="1"/>
  <c r="U309" i="4"/>
  <c r="U381" i="4"/>
  <c r="K387" i="4"/>
  <c r="I375" i="4"/>
  <c r="R694" i="4"/>
  <c r="U696" i="4"/>
  <c r="O166" i="2"/>
  <c r="K250" i="3"/>
  <c r="L255" i="3"/>
  <c r="O255" i="3" s="1"/>
  <c r="O309" i="3"/>
  <c r="P68" i="4"/>
  <c r="M76" i="4"/>
  <c r="P76" i="4" s="1"/>
  <c r="M160" i="4"/>
  <c r="T163" i="4"/>
  <c r="N176" i="4"/>
  <c r="N174" i="4" s="1"/>
  <c r="I239" i="4"/>
  <c r="K239" i="4" s="1"/>
  <c r="O312" i="4"/>
  <c r="L327" i="4"/>
  <c r="O327" i="4" s="1"/>
  <c r="R378" i="4"/>
  <c r="U378" i="4" s="1"/>
  <c r="R620" i="4"/>
  <c r="U622" i="4"/>
  <c r="R619" i="4"/>
  <c r="S694" i="4"/>
  <c r="T694" i="4" s="1"/>
  <c r="S693" i="4"/>
  <c r="S691" i="4" s="1"/>
  <c r="R204" i="1"/>
  <c r="N120" i="2"/>
  <c r="N118" i="2" s="1"/>
  <c r="Q142" i="2"/>
  <c r="T142" i="2" s="1"/>
  <c r="M75" i="3"/>
  <c r="M73" i="3" s="1"/>
  <c r="M98" i="3"/>
  <c r="P98" i="3" s="1"/>
  <c r="L97" i="3"/>
  <c r="O97" i="3" s="1"/>
  <c r="M101" i="3"/>
  <c r="P101" i="3" s="1"/>
  <c r="N120" i="3"/>
  <c r="N118" i="3" s="1"/>
  <c r="L234" i="3"/>
  <c r="K784" i="3"/>
  <c r="M62" i="4"/>
  <c r="M60" i="4" s="1"/>
  <c r="T100" i="4"/>
  <c r="Q120" i="4"/>
  <c r="I139" i="4"/>
  <c r="K139" i="4" s="1"/>
  <c r="S142" i="4"/>
  <c r="S140" i="4" s="1"/>
  <c r="N160" i="4"/>
  <c r="N158" i="4" s="1"/>
  <c r="Q177" i="4"/>
  <c r="T177" i="4" s="1"/>
  <c r="M189" i="4"/>
  <c r="M187" i="4" s="1"/>
  <c r="K196" i="4"/>
  <c r="L306" i="4"/>
  <c r="L304" i="4" s="1"/>
  <c r="O309" i="4"/>
  <c r="K347" i="4"/>
  <c r="J352" i="4"/>
  <c r="P362" i="4"/>
  <c r="S378" i="4"/>
  <c r="S376" i="4" s="1"/>
  <c r="S379" i="4"/>
  <c r="T379" i="4" s="1"/>
  <c r="R494" i="4"/>
  <c r="U494" i="4" s="1"/>
  <c r="P519" i="4"/>
  <c r="U646" i="4"/>
  <c r="K704" i="4"/>
  <c r="Q763" i="4"/>
  <c r="Q762" i="4"/>
  <c r="T762" i="4" s="1"/>
  <c r="K370" i="4"/>
  <c r="J375" i="4"/>
  <c r="K778" i="4"/>
  <c r="K784" i="4"/>
  <c r="K779" i="4"/>
  <c r="K785" i="4"/>
  <c r="T696" i="4"/>
  <c r="K710" i="4"/>
  <c r="K783" i="4"/>
  <c r="Q120" i="3"/>
  <c r="Q118" i="3" s="1"/>
  <c r="L360" i="3"/>
  <c r="O360" i="3" s="1"/>
  <c r="O362" i="3"/>
  <c r="Q76" i="4"/>
  <c r="T76" i="4" s="1"/>
  <c r="T78" i="4"/>
  <c r="Q75" i="4"/>
  <c r="T75" i="4" s="1"/>
  <c r="R520" i="1"/>
  <c r="U520" i="1" s="1"/>
  <c r="M20" i="4"/>
  <c r="P26" i="4"/>
  <c r="P305" i="4"/>
  <c r="S160" i="3"/>
  <c r="S158" i="3" s="1"/>
  <c r="M164" i="3"/>
  <c r="P164" i="3" s="1"/>
  <c r="P182" i="3"/>
  <c r="M180" i="3"/>
  <c r="P180" i="3" s="1"/>
  <c r="N193" i="3"/>
  <c r="N189" i="3"/>
  <c r="N187" i="3" s="1"/>
  <c r="L215" i="3"/>
  <c r="O215" i="3" s="1"/>
  <c r="L237" i="3"/>
  <c r="Q269" i="3"/>
  <c r="Q267" i="3" s="1"/>
  <c r="Q24" i="4"/>
  <c r="R177" i="4"/>
  <c r="U177" i="4" s="1"/>
  <c r="U179" i="4"/>
  <c r="P522" i="4"/>
  <c r="M516" i="4"/>
  <c r="P516" i="4" s="1"/>
  <c r="M520" i="4"/>
  <c r="P520" i="4" s="1"/>
  <c r="L124" i="4"/>
  <c r="O124" i="4" s="1"/>
  <c r="L120" i="4"/>
  <c r="O126" i="4"/>
  <c r="L643" i="4"/>
  <c r="O643" i="4" s="1"/>
  <c r="O645" i="4"/>
  <c r="S379" i="1"/>
  <c r="L79" i="3"/>
  <c r="O79" i="3" s="1"/>
  <c r="M97" i="3"/>
  <c r="S120" i="3"/>
  <c r="U120" i="3" s="1"/>
  <c r="N142" i="3"/>
  <c r="N140" i="3" s="1"/>
  <c r="T27" i="4"/>
  <c r="Q25" i="4"/>
  <c r="T25" i="4" s="1"/>
  <c r="P100" i="4"/>
  <c r="M98" i="4"/>
  <c r="P98" i="4" s="1"/>
  <c r="M97" i="4"/>
  <c r="M146" i="4"/>
  <c r="P146" i="4" s="1"/>
  <c r="P148" i="4"/>
  <c r="M142" i="4"/>
  <c r="R161" i="4"/>
  <c r="U161" i="4" s="1"/>
  <c r="U163" i="4"/>
  <c r="L177" i="4"/>
  <c r="O177" i="4" s="1"/>
  <c r="O179" i="4"/>
  <c r="T268" i="4"/>
  <c r="S267" i="4"/>
  <c r="N310" i="4"/>
  <c r="N306" i="4"/>
  <c r="R158" i="4"/>
  <c r="U158" i="4" s="1"/>
  <c r="U160" i="4"/>
  <c r="K372" i="4"/>
  <c r="I366" i="4"/>
  <c r="K366" i="4" s="1"/>
  <c r="O337" i="2"/>
  <c r="R75" i="3"/>
  <c r="R73" i="3" s="1"/>
  <c r="I138" i="3"/>
  <c r="K138" i="3" s="1"/>
  <c r="O145" i="3"/>
  <c r="L161" i="4"/>
  <c r="O161" i="4" s="1"/>
  <c r="O163" i="4"/>
  <c r="U284" i="4"/>
  <c r="R283" i="4"/>
  <c r="U283" i="4" s="1"/>
  <c r="O50" i="2"/>
  <c r="O65" i="3"/>
  <c r="T270" i="3"/>
  <c r="N516" i="3"/>
  <c r="N514" i="3" s="1"/>
  <c r="N517" i="3"/>
  <c r="S20" i="4"/>
  <c r="S25" i="4"/>
  <c r="R174" i="4"/>
  <c r="U174" i="4" s="1"/>
  <c r="U176" i="4"/>
  <c r="U499" i="3"/>
  <c r="J703" i="3"/>
  <c r="L24" i="4"/>
  <c r="R24" i="4"/>
  <c r="L47" i="4"/>
  <c r="L48" i="4"/>
  <c r="O48" i="4" s="1"/>
  <c r="L75" i="4"/>
  <c r="S75" i="4"/>
  <c r="S73" i="4" s="1"/>
  <c r="P81" i="4"/>
  <c r="O96" i="4"/>
  <c r="U123" i="4"/>
  <c r="P145" i="4"/>
  <c r="I203" i="4"/>
  <c r="K203" i="4" s="1"/>
  <c r="I241" i="4"/>
  <c r="K241" i="4" s="1"/>
  <c r="K252" i="4"/>
  <c r="S270" i="4"/>
  <c r="T270" i="4" s="1"/>
  <c r="T272" i="4"/>
  <c r="L273" i="4"/>
  <c r="O273" i="4" s="1"/>
  <c r="O275" i="4"/>
  <c r="Q283" i="4"/>
  <c r="T283" i="4" s="1"/>
  <c r="M286" i="4"/>
  <c r="P286" i="4" s="1"/>
  <c r="P288" i="4"/>
  <c r="M285" i="4"/>
  <c r="P326" i="4"/>
  <c r="M324" i="4"/>
  <c r="P324" i="4" s="1"/>
  <c r="P645" i="4"/>
  <c r="M643" i="4"/>
  <c r="P643" i="4" s="1"/>
  <c r="R417" i="3"/>
  <c r="U417" i="3" s="1"/>
  <c r="M24" i="4"/>
  <c r="M47" i="4"/>
  <c r="M51" i="4"/>
  <c r="P51" i="4" s="1"/>
  <c r="M27" i="4"/>
  <c r="P27" i="4" s="1"/>
  <c r="L62" i="4"/>
  <c r="L63" i="4"/>
  <c r="O63" i="4" s="1"/>
  <c r="S24" i="4"/>
  <c r="T98" i="4"/>
  <c r="O123" i="4"/>
  <c r="P141" i="4"/>
  <c r="O268" i="4"/>
  <c r="M273" i="4"/>
  <c r="P273" i="4" s="1"/>
  <c r="P275" i="4"/>
  <c r="U335" i="4"/>
  <c r="R334" i="4"/>
  <c r="U334" i="4" s="1"/>
  <c r="J344" i="4"/>
  <c r="J333" i="4"/>
  <c r="K333" i="4" s="1"/>
  <c r="P394" i="4"/>
  <c r="M393" i="4"/>
  <c r="P393" i="4" s="1"/>
  <c r="M414" i="4"/>
  <c r="P414" i="4" s="1"/>
  <c r="P416" i="4"/>
  <c r="U557" i="4"/>
  <c r="R556" i="4"/>
  <c r="U556" i="4" s="1"/>
  <c r="T579" i="4"/>
  <c r="Q577" i="4"/>
  <c r="T577" i="4" s="1"/>
  <c r="R416" i="3"/>
  <c r="R497" i="3"/>
  <c r="U497" i="3" s="1"/>
  <c r="R620" i="3"/>
  <c r="Q731" i="3"/>
  <c r="Q729" i="3" s="1"/>
  <c r="N51" i="4"/>
  <c r="N27" i="4"/>
  <c r="N47" i="4"/>
  <c r="N45" i="4" s="1"/>
  <c r="Q60" i="4"/>
  <c r="T60" i="4" s="1"/>
  <c r="T96" i="4"/>
  <c r="P188" i="4"/>
  <c r="M270" i="4"/>
  <c r="P272" i="4"/>
  <c r="M269" i="4"/>
  <c r="P284" i="4"/>
  <c r="L337" i="4"/>
  <c r="O337" i="4" s="1"/>
  <c r="O339" i="4"/>
  <c r="K345" i="4"/>
  <c r="O557" i="4"/>
  <c r="L556" i="4"/>
  <c r="O556" i="4" s="1"/>
  <c r="U618" i="4"/>
  <c r="L235" i="3"/>
  <c r="O307" i="3"/>
  <c r="J375" i="3"/>
  <c r="R494" i="3"/>
  <c r="U494" i="3" s="1"/>
  <c r="S645" i="3"/>
  <c r="S643" i="3" s="1"/>
  <c r="N66" i="4"/>
  <c r="N62" i="4"/>
  <c r="I83" i="4"/>
  <c r="Q97" i="4"/>
  <c r="P143" i="4"/>
  <c r="L236" i="4"/>
  <c r="L244" i="4"/>
  <c r="N269" i="4"/>
  <c r="N267" i="4" s="1"/>
  <c r="N270" i="4"/>
  <c r="L363" i="4"/>
  <c r="O363" i="4" s="1"/>
  <c r="O365" i="4"/>
  <c r="L359" i="4"/>
  <c r="J504" i="4"/>
  <c r="J493" i="4" s="1"/>
  <c r="K505" i="4"/>
  <c r="K387" i="3"/>
  <c r="J676" i="3"/>
  <c r="N190" i="4"/>
  <c r="P190" i="4" s="1"/>
  <c r="O192" i="4"/>
  <c r="N189" i="4"/>
  <c r="N187" i="4" s="1"/>
  <c r="I214" i="4"/>
  <c r="K214" i="4" s="1"/>
  <c r="K221" i="4"/>
  <c r="S307" i="4"/>
  <c r="U307" i="4" s="1"/>
  <c r="T309" i="4"/>
  <c r="S306" i="4"/>
  <c r="S304" i="4" s="1"/>
  <c r="M310" i="4"/>
  <c r="P310" i="4" s="1"/>
  <c r="P312" i="4"/>
  <c r="M363" i="4"/>
  <c r="P363" i="4" s="1"/>
  <c r="P365" i="4"/>
  <c r="M359" i="4"/>
  <c r="O100" i="4"/>
  <c r="U100" i="4"/>
  <c r="O103" i="4"/>
  <c r="O291" i="4"/>
  <c r="L285" i="4"/>
  <c r="T322" i="4"/>
  <c r="Q321" i="4"/>
  <c r="T321" i="4" s="1"/>
  <c r="M337" i="4"/>
  <c r="P337" i="4" s="1"/>
  <c r="P339" i="4"/>
  <c r="U515" i="4"/>
  <c r="R514" i="4"/>
  <c r="U514" i="4" s="1"/>
  <c r="O618" i="4"/>
  <c r="L617" i="4"/>
  <c r="O617" i="4" s="1"/>
  <c r="K706" i="4"/>
  <c r="I702" i="4"/>
  <c r="R270" i="4"/>
  <c r="U272" i="4"/>
  <c r="O284" i="4"/>
  <c r="L289" i="4"/>
  <c r="O289" i="4" s="1"/>
  <c r="U305" i="4"/>
  <c r="R321" i="4"/>
  <c r="U321" i="4" s="1"/>
  <c r="U323" i="4"/>
  <c r="N327" i="4"/>
  <c r="N323" i="4"/>
  <c r="N321" i="4" s="1"/>
  <c r="T335" i="4"/>
  <c r="Q334" i="4"/>
  <c r="T334" i="4" s="1"/>
  <c r="T377" i="4"/>
  <c r="L691" i="4"/>
  <c r="O691" i="4" s="1"/>
  <c r="O693" i="4"/>
  <c r="K266" i="4"/>
  <c r="U268" i="4"/>
  <c r="R267" i="4"/>
  <c r="U269" i="4"/>
  <c r="L270" i="4"/>
  <c r="O270" i="4" s="1"/>
  <c r="O272" i="4"/>
  <c r="O305" i="4"/>
  <c r="M307" i="4"/>
  <c r="P307" i="4" s="1"/>
  <c r="P309" i="4"/>
  <c r="L324" i="4"/>
  <c r="O324" i="4" s="1"/>
  <c r="O326" i="4"/>
  <c r="O335" i="4"/>
  <c r="N517" i="4"/>
  <c r="N516" i="4"/>
  <c r="N514" i="4" s="1"/>
  <c r="T415" i="4"/>
  <c r="T419" i="4"/>
  <c r="Q416" i="4"/>
  <c r="T416" i="4" s="1"/>
  <c r="Q417" i="4"/>
  <c r="T417" i="4" s="1"/>
  <c r="T644" i="4"/>
  <c r="M691" i="4"/>
  <c r="P691" i="4" s="1"/>
  <c r="P693" i="4"/>
  <c r="Q715" i="4"/>
  <c r="T715" i="4" s="1"/>
  <c r="T717" i="4"/>
  <c r="S731" i="4"/>
  <c r="S729" i="4" s="1"/>
  <c r="T734" i="4"/>
  <c r="S732" i="4"/>
  <c r="T732" i="4" s="1"/>
  <c r="I413" i="4"/>
  <c r="K413" i="4" s="1"/>
  <c r="U415" i="4"/>
  <c r="R414" i="4"/>
  <c r="U414" i="4" s="1"/>
  <c r="M556" i="4"/>
  <c r="P556" i="4" s="1"/>
  <c r="P558" i="4"/>
  <c r="M617" i="4"/>
  <c r="P617" i="4" s="1"/>
  <c r="P619" i="4"/>
  <c r="K727" i="4"/>
  <c r="I759" i="4"/>
  <c r="K759" i="4" s="1"/>
  <c r="K774" i="4"/>
  <c r="O415" i="4"/>
  <c r="L414" i="4"/>
  <c r="O414" i="4" s="1"/>
  <c r="S497" i="4"/>
  <c r="P515" i="4"/>
  <c r="T622" i="4"/>
  <c r="Q619" i="4"/>
  <c r="Q620" i="4"/>
  <c r="K632" i="4"/>
  <c r="K631" i="4"/>
  <c r="K627" i="4"/>
  <c r="T692" i="4"/>
  <c r="L520" i="4"/>
  <c r="O520" i="4" s="1"/>
  <c r="O522" i="4"/>
  <c r="L516" i="4"/>
  <c r="O516" i="4" s="1"/>
  <c r="Q535" i="4"/>
  <c r="T535" i="4" s="1"/>
  <c r="T557" i="4"/>
  <c r="Q556" i="4"/>
  <c r="T556" i="4" s="1"/>
  <c r="Q600" i="4"/>
  <c r="T600" i="4" s="1"/>
  <c r="T618" i="4"/>
  <c r="K633" i="4"/>
  <c r="R691" i="4"/>
  <c r="O762" i="4"/>
  <c r="R619" i="2"/>
  <c r="U694" i="2"/>
  <c r="L24" i="3"/>
  <c r="L22" i="3" s="1"/>
  <c r="M62" i="3"/>
  <c r="M60" i="3" s="1"/>
  <c r="L66" i="3"/>
  <c r="O66" i="3" s="1"/>
  <c r="S97" i="3"/>
  <c r="S95" i="3" s="1"/>
  <c r="T100" i="3"/>
  <c r="L120" i="3"/>
  <c r="O120" i="3" s="1"/>
  <c r="O519" i="3"/>
  <c r="L516" i="3"/>
  <c r="L514" i="3" s="1"/>
  <c r="O514" i="3" s="1"/>
  <c r="S762" i="3"/>
  <c r="S760" i="3" s="1"/>
  <c r="S763" i="3"/>
  <c r="T763" i="3" s="1"/>
  <c r="T192" i="2"/>
  <c r="I616" i="2"/>
  <c r="K616" i="2" s="1"/>
  <c r="L27" i="3"/>
  <c r="L25" i="3" s="1"/>
  <c r="O25" i="3" s="1"/>
  <c r="P50" i="3"/>
  <c r="I84" i="3"/>
  <c r="K168" i="3"/>
  <c r="I169" i="3"/>
  <c r="K169" i="3" s="1"/>
  <c r="P195" i="3"/>
  <c r="M189" i="3"/>
  <c r="M187" i="3" s="1"/>
  <c r="M193" i="3"/>
  <c r="P193" i="3" s="1"/>
  <c r="T121" i="3"/>
  <c r="M124" i="3"/>
  <c r="P124" i="3" s="1"/>
  <c r="R190" i="3"/>
  <c r="U190" i="3" s="1"/>
  <c r="R189" i="3"/>
  <c r="R187" i="3" s="1"/>
  <c r="Q307" i="3"/>
  <c r="Q306" i="3"/>
  <c r="Q304" i="3" s="1"/>
  <c r="S497" i="3"/>
  <c r="S496" i="3"/>
  <c r="S494" i="3" s="1"/>
  <c r="O76" i="3"/>
  <c r="M121" i="3"/>
  <c r="P121" i="3" s="1"/>
  <c r="P123" i="3"/>
  <c r="N124" i="3"/>
  <c r="M177" i="3"/>
  <c r="P177" i="3" s="1"/>
  <c r="M176" i="3"/>
  <c r="M174" i="3" s="1"/>
  <c r="M285" i="3"/>
  <c r="M283" i="3" s="1"/>
  <c r="M289" i="3"/>
  <c r="P289" i="3" s="1"/>
  <c r="S76" i="3"/>
  <c r="U76" i="3" s="1"/>
  <c r="I93" i="3"/>
  <c r="K93" i="3" s="1"/>
  <c r="K154" i="3"/>
  <c r="Q160" i="3"/>
  <c r="P179" i="3"/>
  <c r="N306" i="3"/>
  <c r="N304" i="3" s="1"/>
  <c r="L323" i="3"/>
  <c r="L321" i="3" s="1"/>
  <c r="O321" i="3" s="1"/>
  <c r="J333" i="3"/>
  <c r="K333" i="3" s="1"/>
  <c r="Q693" i="3"/>
  <c r="Q691" i="3" s="1"/>
  <c r="K780" i="3"/>
  <c r="T123" i="3"/>
  <c r="T163" i="3"/>
  <c r="N176" i="3"/>
  <c r="S189" i="3"/>
  <c r="S187" i="3" s="1"/>
  <c r="O195" i="3"/>
  <c r="R693" i="3"/>
  <c r="R691" i="3" s="1"/>
  <c r="I254" i="3"/>
  <c r="K254" i="3" s="1"/>
  <c r="M269" i="3"/>
  <c r="M267" i="3" s="1"/>
  <c r="O288" i="3"/>
  <c r="K690" i="3"/>
  <c r="K778" i="3"/>
  <c r="Q142" i="3"/>
  <c r="T142" i="3" s="1"/>
  <c r="P163" i="3"/>
  <c r="L189" i="3"/>
  <c r="L187" i="3" s="1"/>
  <c r="M323" i="3"/>
  <c r="P323" i="3" s="1"/>
  <c r="P360" i="3"/>
  <c r="U696" i="3"/>
  <c r="U765" i="3"/>
  <c r="S73" i="3"/>
  <c r="L236" i="2"/>
  <c r="M48" i="3"/>
  <c r="P48" i="3" s="1"/>
  <c r="O50" i="3"/>
  <c r="P63" i="3"/>
  <c r="P68" i="3"/>
  <c r="O78" i="3"/>
  <c r="R142" i="3"/>
  <c r="U142" i="3" s="1"/>
  <c r="T145" i="3"/>
  <c r="Q176" i="3"/>
  <c r="Q177" i="3"/>
  <c r="T177" i="3" s="1"/>
  <c r="N190" i="3"/>
  <c r="O190" i="3" s="1"/>
  <c r="L204" i="3"/>
  <c r="O204" i="3" s="1"/>
  <c r="L244" i="3"/>
  <c r="O244" i="3" s="1"/>
  <c r="N269" i="3"/>
  <c r="N267" i="3" s="1"/>
  <c r="P291" i="3"/>
  <c r="L327" i="3"/>
  <c r="O327" i="3" s="1"/>
  <c r="K331" i="3"/>
  <c r="N336" i="3"/>
  <c r="N334" i="3" s="1"/>
  <c r="S376" i="3"/>
  <c r="S379" i="3"/>
  <c r="S416" i="3"/>
  <c r="S414" i="3" s="1"/>
  <c r="Q496" i="3"/>
  <c r="T648" i="3"/>
  <c r="K779" i="3"/>
  <c r="O339" i="2"/>
  <c r="L63" i="3"/>
  <c r="O63" i="3" s="1"/>
  <c r="L75" i="3"/>
  <c r="P78" i="3"/>
  <c r="S142" i="3"/>
  <c r="S140" i="3" s="1"/>
  <c r="P148" i="3"/>
  <c r="I170" i="3"/>
  <c r="K170" i="3" s="1"/>
  <c r="Q189" i="3"/>
  <c r="Q187" i="3" s="1"/>
  <c r="Q190" i="3"/>
  <c r="T190" i="3" s="1"/>
  <c r="L223" i="3"/>
  <c r="O223" i="3" s="1"/>
  <c r="L286" i="3"/>
  <c r="O286" i="3" s="1"/>
  <c r="R307" i="3"/>
  <c r="U309" i="3"/>
  <c r="M327" i="3"/>
  <c r="P327" i="3" s="1"/>
  <c r="L340" i="3"/>
  <c r="O340" i="3" s="1"/>
  <c r="K345" i="3"/>
  <c r="I616" i="3"/>
  <c r="K616" i="3" s="1"/>
  <c r="U648" i="3"/>
  <c r="Q762" i="3"/>
  <c r="T765" i="3"/>
  <c r="N75" i="3"/>
  <c r="N73" i="3" s="1"/>
  <c r="I83" i="3"/>
  <c r="K83" i="3" s="1"/>
  <c r="N24" i="3"/>
  <c r="N22" i="3" s="1"/>
  <c r="M120" i="3"/>
  <c r="P120" i="3" s="1"/>
  <c r="M142" i="3"/>
  <c r="P145" i="3"/>
  <c r="I157" i="3"/>
  <c r="K157" i="3" s="1"/>
  <c r="P192" i="3"/>
  <c r="U192" i="3"/>
  <c r="I243" i="3"/>
  <c r="K243" i="3" s="1"/>
  <c r="S269" i="3"/>
  <c r="S267" i="3" s="1"/>
  <c r="P329" i="3"/>
  <c r="K347" i="3"/>
  <c r="J352" i="3"/>
  <c r="T499" i="3"/>
  <c r="J504" i="3"/>
  <c r="J493" i="3" s="1"/>
  <c r="R762" i="3"/>
  <c r="R760" i="3" s="1"/>
  <c r="R763" i="3"/>
  <c r="O48" i="2"/>
  <c r="M76" i="2"/>
  <c r="P76" i="2" s="1"/>
  <c r="I222" i="3"/>
  <c r="K222" i="3" s="1"/>
  <c r="U622" i="2"/>
  <c r="Q645" i="2"/>
  <c r="T645" i="2" s="1"/>
  <c r="L51" i="3"/>
  <c r="O51" i="3" s="1"/>
  <c r="M47" i="3"/>
  <c r="M45" i="3" s="1"/>
  <c r="T75" i="3"/>
  <c r="K110" i="3"/>
  <c r="T272" i="3"/>
  <c r="I282" i="3"/>
  <c r="K282" i="3" s="1"/>
  <c r="P337" i="3"/>
  <c r="K370" i="3"/>
  <c r="J675" i="3"/>
  <c r="S694" i="3"/>
  <c r="U694" i="3" s="1"/>
  <c r="T696" i="3"/>
  <c r="K783" i="3"/>
  <c r="I424" i="2"/>
  <c r="K424" i="2" s="1"/>
  <c r="O48" i="3"/>
  <c r="N66" i="3"/>
  <c r="N62" i="3"/>
  <c r="L98" i="3"/>
  <c r="O98" i="3" s="1"/>
  <c r="O100" i="3"/>
  <c r="U119" i="3"/>
  <c r="R118" i="3"/>
  <c r="L161" i="3"/>
  <c r="O163" i="3"/>
  <c r="L164" i="3"/>
  <c r="O164" i="3" s="1"/>
  <c r="O166" i="3"/>
  <c r="O175" i="3"/>
  <c r="P305" i="3"/>
  <c r="U335" i="3"/>
  <c r="R334" i="3"/>
  <c r="U334" i="3" s="1"/>
  <c r="L337" i="3"/>
  <c r="O337" i="3" s="1"/>
  <c r="O339" i="3"/>
  <c r="M51" i="2"/>
  <c r="P51" i="2" s="1"/>
  <c r="M66" i="2"/>
  <c r="P66" i="2" s="1"/>
  <c r="O329" i="2"/>
  <c r="S619" i="2"/>
  <c r="S617" i="2" s="1"/>
  <c r="S693" i="2"/>
  <c r="S691" i="2" s="1"/>
  <c r="Q731" i="2"/>
  <c r="Q729" i="2" s="1"/>
  <c r="K772" i="2"/>
  <c r="K778" i="2"/>
  <c r="K781" i="2"/>
  <c r="K784" i="2"/>
  <c r="U27" i="3"/>
  <c r="M24" i="3"/>
  <c r="M22" i="3" s="1"/>
  <c r="P65" i="3"/>
  <c r="P76" i="3"/>
  <c r="M79" i="3"/>
  <c r="P79" i="3" s="1"/>
  <c r="L101" i="3"/>
  <c r="O101" i="3" s="1"/>
  <c r="O103" i="3"/>
  <c r="O119" i="3"/>
  <c r="L142" i="3"/>
  <c r="P143" i="3"/>
  <c r="L160" i="3"/>
  <c r="L158" i="3" s="1"/>
  <c r="L177" i="3"/>
  <c r="O177" i="3" s="1"/>
  <c r="O179" i="3"/>
  <c r="L180" i="3"/>
  <c r="O180" i="3" s="1"/>
  <c r="O182" i="3"/>
  <c r="O268" i="3"/>
  <c r="L270" i="3"/>
  <c r="O270" i="3" s="1"/>
  <c r="O272" i="3"/>
  <c r="L269" i="3"/>
  <c r="O269" i="3" s="1"/>
  <c r="M79" i="2"/>
  <c r="P79" i="2" s="1"/>
  <c r="I303" i="2"/>
  <c r="K303" i="2" s="1"/>
  <c r="M51" i="3"/>
  <c r="P51" i="3" s="1"/>
  <c r="M27" i="3"/>
  <c r="P27" i="3" s="1"/>
  <c r="R121" i="3"/>
  <c r="U121" i="3" s="1"/>
  <c r="U123" i="3"/>
  <c r="L146" i="3"/>
  <c r="O146" i="3" s="1"/>
  <c r="K210" i="3"/>
  <c r="I203" i="3"/>
  <c r="K203" i="3" s="1"/>
  <c r="O291" i="3"/>
  <c r="L285" i="3"/>
  <c r="L283" i="3" s="1"/>
  <c r="L289" i="3"/>
  <c r="O289" i="3" s="1"/>
  <c r="L336" i="3"/>
  <c r="L334" i="3" s="1"/>
  <c r="M617" i="3"/>
  <c r="P617" i="3" s="1"/>
  <c r="P619" i="3"/>
  <c r="S76" i="2"/>
  <c r="M120" i="2"/>
  <c r="P120" i="2" s="1"/>
  <c r="Q176" i="2"/>
  <c r="T176" i="2" s="1"/>
  <c r="U648" i="2"/>
  <c r="J676" i="2"/>
  <c r="K676" i="2" s="1"/>
  <c r="K704" i="2"/>
  <c r="K710" i="2"/>
  <c r="R24" i="3"/>
  <c r="N51" i="3"/>
  <c r="N27" i="3"/>
  <c r="N25" i="3" s="1"/>
  <c r="N47" i="3"/>
  <c r="N45" i="3" s="1"/>
  <c r="Q76" i="3"/>
  <c r="T78" i="3"/>
  <c r="Q24" i="3"/>
  <c r="P81" i="3"/>
  <c r="U96" i="3"/>
  <c r="R95" i="3"/>
  <c r="U95" i="3" s="1"/>
  <c r="N98" i="3"/>
  <c r="L121" i="3"/>
  <c r="O121" i="3" s="1"/>
  <c r="O123" i="3"/>
  <c r="L143" i="3"/>
  <c r="O143" i="3" s="1"/>
  <c r="N160" i="3"/>
  <c r="N161" i="3"/>
  <c r="P161" i="3" s="1"/>
  <c r="M307" i="3"/>
  <c r="P307" i="3" s="1"/>
  <c r="P309" i="3"/>
  <c r="M310" i="3"/>
  <c r="P310" i="3" s="1"/>
  <c r="P312" i="3"/>
  <c r="L24" i="2"/>
  <c r="L22" i="2" s="1"/>
  <c r="N47" i="2"/>
  <c r="N45" i="2" s="1"/>
  <c r="U100" i="2"/>
  <c r="N142" i="2"/>
  <c r="N140" i="2" s="1"/>
  <c r="I173" i="2"/>
  <c r="K173" i="2" s="1"/>
  <c r="R176" i="2"/>
  <c r="U176" i="2" s="1"/>
  <c r="O96" i="3"/>
  <c r="L124" i="3"/>
  <c r="O124" i="3" s="1"/>
  <c r="O126" i="3"/>
  <c r="U159" i="3"/>
  <c r="R161" i="3"/>
  <c r="U161" i="3" s="1"/>
  <c r="U163" i="3"/>
  <c r="T378" i="3"/>
  <c r="Q376" i="3"/>
  <c r="N160" i="2"/>
  <c r="N158" i="2" s="1"/>
  <c r="Q177" i="2"/>
  <c r="T177" i="2" s="1"/>
  <c r="L289" i="2"/>
  <c r="O289" i="2" s="1"/>
  <c r="P307" i="2"/>
  <c r="J352" i="2"/>
  <c r="L517" i="2"/>
  <c r="O517" i="2" s="1"/>
  <c r="K655" i="2"/>
  <c r="K677" i="2"/>
  <c r="K758" i="2"/>
  <c r="T46" i="3"/>
  <c r="Q60" i="3"/>
  <c r="T60" i="3" s="1"/>
  <c r="Q73" i="3"/>
  <c r="U78" i="3"/>
  <c r="S24" i="3"/>
  <c r="S21" i="3" s="1"/>
  <c r="S19" i="3" s="1"/>
  <c r="R98" i="3"/>
  <c r="U98" i="3" s="1"/>
  <c r="U100" i="3"/>
  <c r="O159" i="3"/>
  <c r="R160" i="3"/>
  <c r="U160" i="3" s="1"/>
  <c r="U175" i="3"/>
  <c r="R174" i="3"/>
  <c r="U174" i="3" s="1"/>
  <c r="R177" i="3"/>
  <c r="U177" i="3" s="1"/>
  <c r="U179" i="3"/>
  <c r="I214" i="3"/>
  <c r="K214" i="3" s="1"/>
  <c r="T268" i="3"/>
  <c r="R270" i="3"/>
  <c r="U270" i="3" s="1"/>
  <c r="U272" i="3"/>
  <c r="R269" i="3"/>
  <c r="K277" i="3"/>
  <c r="I266" i="3"/>
  <c r="K266" i="3" s="1"/>
  <c r="O284" i="3"/>
  <c r="M286" i="3"/>
  <c r="P286" i="3" s="1"/>
  <c r="P288" i="3"/>
  <c r="U306" i="3"/>
  <c r="N363" i="3"/>
  <c r="N359" i="3"/>
  <c r="N357" i="3" s="1"/>
  <c r="I375" i="3"/>
  <c r="L47" i="3"/>
  <c r="L62" i="3"/>
  <c r="U268" i="3"/>
  <c r="P284" i="3"/>
  <c r="N285" i="3"/>
  <c r="N283" i="3" s="1"/>
  <c r="I303" i="3"/>
  <c r="K303" i="3" s="1"/>
  <c r="N327" i="3"/>
  <c r="N323" i="3"/>
  <c r="N321" i="3" s="1"/>
  <c r="O335" i="3"/>
  <c r="S732" i="3"/>
  <c r="U732" i="3" s="1"/>
  <c r="T734" i="3"/>
  <c r="S731" i="3"/>
  <c r="S729" i="3" s="1"/>
  <c r="M270" i="3"/>
  <c r="P270" i="3" s="1"/>
  <c r="P272" i="3"/>
  <c r="L273" i="3"/>
  <c r="O273" i="3" s="1"/>
  <c r="O275" i="3"/>
  <c r="K294" i="3"/>
  <c r="J281" i="3"/>
  <c r="K281" i="3" s="1"/>
  <c r="I366" i="3"/>
  <c r="K366" i="3" s="1"/>
  <c r="K372" i="3"/>
  <c r="M273" i="3"/>
  <c r="P273" i="3" s="1"/>
  <c r="P275" i="3"/>
  <c r="U284" i="3"/>
  <c r="R283" i="3"/>
  <c r="U283" i="3" s="1"/>
  <c r="T381" i="3"/>
  <c r="Q379" i="3"/>
  <c r="T419" i="3"/>
  <c r="Q416" i="3"/>
  <c r="T416" i="3" s="1"/>
  <c r="Q417" i="3"/>
  <c r="T417" i="3" s="1"/>
  <c r="T309" i="3"/>
  <c r="S307" i="3"/>
  <c r="T322" i="3"/>
  <c r="Q321" i="3"/>
  <c r="T321" i="3" s="1"/>
  <c r="Q357" i="3"/>
  <c r="T357" i="3" s="1"/>
  <c r="T359" i="3"/>
  <c r="M376" i="3"/>
  <c r="P376" i="3" s="1"/>
  <c r="P377" i="3"/>
  <c r="I702" i="3"/>
  <c r="K706" i="3"/>
  <c r="R304" i="3"/>
  <c r="Q334" i="3"/>
  <c r="T334" i="3" s="1"/>
  <c r="L359" i="3"/>
  <c r="O365" i="3"/>
  <c r="U377" i="3"/>
  <c r="R393" i="3"/>
  <c r="U393" i="3" s="1"/>
  <c r="O394" i="3"/>
  <c r="I424" i="3"/>
  <c r="M600" i="3"/>
  <c r="P600" i="3" s="1"/>
  <c r="T601" i="3"/>
  <c r="R617" i="3"/>
  <c r="U617" i="3" s="1"/>
  <c r="T622" i="3"/>
  <c r="Q619" i="3"/>
  <c r="T619" i="3" s="1"/>
  <c r="Q620" i="3"/>
  <c r="M643" i="3"/>
  <c r="P643" i="3" s="1"/>
  <c r="M691" i="3"/>
  <c r="P691" i="3" s="1"/>
  <c r="S691" i="3"/>
  <c r="U323" i="3"/>
  <c r="O326" i="3"/>
  <c r="P339" i="3"/>
  <c r="J344" i="3"/>
  <c r="M359" i="3"/>
  <c r="P365" i="3"/>
  <c r="O377" i="3"/>
  <c r="L494" i="3"/>
  <c r="O494" i="3" s="1"/>
  <c r="R514" i="3"/>
  <c r="U514" i="3" s="1"/>
  <c r="M535" i="3"/>
  <c r="P535" i="3" s="1"/>
  <c r="T536" i="3"/>
  <c r="Q577" i="3"/>
  <c r="T577" i="3" s="1"/>
  <c r="K633" i="3"/>
  <c r="K631" i="3"/>
  <c r="K627" i="3"/>
  <c r="K632" i="3"/>
  <c r="Q715" i="3"/>
  <c r="T715" i="3" s="1"/>
  <c r="L760" i="3"/>
  <c r="O760" i="3" s="1"/>
  <c r="Q393" i="3"/>
  <c r="T393" i="3" s="1"/>
  <c r="N414" i="3"/>
  <c r="U619" i="3"/>
  <c r="U622" i="3"/>
  <c r="S620" i="3"/>
  <c r="K704" i="3"/>
  <c r="J702" i="3"/>
  <c r="K785" i="3"/>
  <c r="M520" i="3"/>
  <c r="P520" i="3" s="1"/>
  <c r="P522" i="3"/>
  <c r="M516" i="3"/>
  <c r="P516" i="3" s="1"/>
  <c r="L556" i="3"/>
  <c r="O556" i="3" s="1"/>
  <c r="K708" i="3"/>
  <c r="U734" i="3"/>
  <c r="K774" i="3"/>
  <c r="K781" i="3"/>
  <c r="R731" i="3"/>
  <c r="L223" i="1"/>
  <c r="S735" i="1"/>
  <c r="S176" i="2"/>
  <c r="S174" i="2" s="1"/>
  <c r="S177" i="2"/>
  <c r="L79" i="2"/>
  <c r="O79" i="2" s="1"/>
  <c r="O81" i="2"/>
  <c r="P309" i="2"/>
  <c r="L176" i="1"/>
  <c r="P63" i="2"/>
  <c r="L75" i="2"/>
  <c r="O75" i="2" s="1"/>
  <c r="U78" i="2"/>
  <c r="R97" i="2"/>
  <c r="U97" i="2" s="1"/>
  <c r="P192" i="2"/>
  <c r="M189" i="2"/>
  <c r="M187" i="2" s="1"/>
  <c r="I196" i="2"/>
  <c r="K196" i="2" s="1"/>
  <c r="Q307" i="2"/>
  <c r="Q306" i="2"/>
  <c r="Q304" i="2" s="1"/>
  <c r="K370" i="2"/>
  <c r="J375" i="2"/>
  <c r="K690" i="2"/>
  <c r="K708" i="2"/>
  <c r="Q763" i="2"/>
  <c r="T765" i="2"/>
  <c r="K779" i="2"/>
  <c r="K782" i="2"/>
  <c r="K785" i="2"/>
  <c r="R497" i="2"/>
  <c r="U497" i="2" s="1"/>
  <c r="U499" i="2"/>
  <c r="M323" i="1"/>
  <c r="O145" i="2"/>
  <c r="R762" i="2"/>
  <c r="R760" i="2" s="1"/>
  <c r="R763" i="2"/>
  <c r="U765" i="2"/>
  <c r="R76" i="2"/>
  <c r="U76" i="2" s="1"/>
  <c r="S731" i="2"/>
  <c r="S729" i="2" s="1"/>
  <c r="S732" i="2"/>
  <c r="T732" i="2" s="1"/>
  <c r="O78" i="2"/>
  <c r="P148" i="2"/>
  <c r="M146" i="2"/>
  <c r="P146" i="2" s="1"/>
  <c r="M289" i="2"/>
  <c r="P289" i="2" s="1"/>
  <c r="P291" i="2"/>
  <c r="R417" i="2"/>
  <c r="U417" i="2" s="1"/>
  <c r="R416" i="2"/>
  <c r="U416" i="2" s="1"/>
  <c r="U419" i="2"/>
  <c r="T696" i="2"/>
  <c r="Q694" i="2"/>
  <c r="T694" i="2" s="1"/>
  <c r="Q693" i="2"/>
  <c r="Q691" i="2" s="1"/>
  <c r="U145" i="2"/>
  <c r="R143" i="2"/>
  <c r="U143" i="2" s="1"/>
  <c r="N161" i="2"/>
  <c r="I266" i="2"/>
  <c r="K266" i="2" s="1"/>
  <c r="S417" i="2"/>
  <c r="S416" i="2"/>
  <c r="S414" i="2" s="1"/>
  <c r="K458" i="2"/>
  <c r="I457" i="2"/>
  <c r="K457" i="2" s="1"/>
  <c r="Q497" i="2"/>
  <c r="T497" i="2" s="1"/>
  <c r="T499" i="2"/>
  <c r="U696" i="2"/>
  <c r="R693" i="2"/>
  <c r="R691" i="2" s="1"/>
  <c r="J675" i="2"/>
  <c r="K675" i="2" s="1"/>
  <c r="T163" i="2"/>
  <c r="M180" i="2"/>
  <c r="P180" i="2" s="1"/>
  <c r="K230" i="2"/>
  <c r="L306" i="2"/>
  <c r="L304" i="2" s="1"/>
  <c r="J702" i="2"/>
  <c r="Q160" i="2"/>
  <c r="T160" i="2" s="1"/>
  <c r="L204" i="2"/>
  <c r="O204" i="2" s="1"/>
  <c r="L286" i="2"/>
  <c r="O286" i="2" s="1"/>
  <c r="K369" i="2"/>
  <c r="N223" i="1"/>
  <c r="Q496" i="1"/>
  <c r="P50" i="2"/>
  <c r="M47" i="2"/>
  <c r="L190" i="2"/>
  <c r="O190" i="2" s="1"/>
  <c r="L189" i="2"/>
  <c r="L187" i="2" s="1"/>
  <c r="O192" i="2"/>
  <c r="M48" i="2"/>
  <c r="P48" i="2" s="1"/>
  <c r="O63" i="2"/>
  <c r="S120" i="2"/>
  <c r="S118" i="2" s="1"/>
  <c r="S121" i="2"/>
  <c r="U121" i="2" s="1"/>
  <c r="N143" i="2"/>
  <c r="N75" i="2"/>
  <c r="N73" i="2" s="1"/>
  <c r="O148" i="2"/>
  <c r="P100" i="2"/>
  <c r="M97" i="2"/>
  <c r="P97" i="2" s="1"/>
  <c r="N176" i="2"/>
  <c r="N174" i="2" s="1"/>
  <c r="N177" i="2"/>
  <c r="O177" i="2" s="1"/>
  <c r="M360" i="1"/>
  <c r="R73" i="2"/>
  <c r="U73" i="2" s="1"/>
  <c r="Q75" i="2"/>
  <c r="T75" i="2" s="1"/>
  <c r="Q24" i="2"/>
  <c r="I117" i="2"/>
  <c r="K117" i="2" s="1"/>
  <c r="K128" i="2"/>
  <c r="I138" i="2"/>
  <c r="K138" i="2" s="1"/>
  <c r="K155" i="2"/>
  <c r="I137" i="2"/>
  <c r="K137" i="2" s="1"/>
  <c r="L161" i="2"/>
  <c r="O161" i="2" s="1"/>
  <c r="L160" i="2"/>
  <c r="O160" i="2" s="1"/>
  <c r="S160" i="2"/>
  <c r="S158" i="2" s="1"/>
  <c r="S161" i="2"/>
  <c r="O179" i="2"/>
  <c r="Q189" i="2"/>
  <c r="Q190" i="2"/>
  <c r="L223" i="2"/>
  <c r="O223" i="2" s="1"/>
  <c r="I243" i="2"/>
  <c r="K243" i="2" s="1"/>
  <c r="N269" i="2"/>
  <c r="N267" i="2" s="1"/>
  <c r="R307" i="2"/>
  <c r="N306" i="2"/>
  <c r="N304" i="2" s="1"/>
  <c r="M324" i="2"/>
  <c r="P324" i="2" s="1"/>
  <c r="P342" i="2"/>
  <c r="K347" i="2"/>
  <c r="J504" i="2"/>
  <c r="J493" i="2" s="1"/>
  <c r="S620" i="2"/>
  <c r="U620" i="2" s="1"/>
  <c r="S763" i="2"/>
  <c r="K780" i="2"/>
  <c r="K783" i="2"/>
  <c r="S762" i="1"/>
  <c r="K774" i="1"/>
  <c r="R24" i="2"/>
  <c r="N27" i="2"/>
  <c r="N25" i="2" s="1"/>
  <c r="S24" i="2"/>
  <c r="S22" i="2" s="1"/>
  <c r="I93" i="2"/>
  <c r="K93" i="2" s="1"/>
  <c r="M164" i="2"/>
  <c r="P164" i="2" s="1"/>
  <c r="O182" i="2"/>
  <c r="R189" i="2"/>
  <c r="R187" i="2" s="1"/>
  <c r="M193" i="2"/>
  <c r="P193" i="2" s="1"/>
  <c r="O195" i="2"/>
  <c r="L237" i="2"/>
  <c r="R269" i="2"/>
  <c r="R267" i="2" s="1"/>
  <c r="M363" i="2"/>
  <c r="P363" i="2" s="1"/>
  <c r="R378" i="2"/>
  <c r="R379" i="2"/>
  <c r="U379" i="2" s="1"/>
  <c r="U734" i="2"/>
  <c r="P270" i="2"/>
  <c r="L359" i="2"/>
  <c r="O365" i="2"/>
  <c r="S378" i="2"/>
  <c r="S376" i="2" s="1"/>
  <c r="P190" i="2"/>
  <c r="L215" i="2"/>
  <c r="O215" i="2" s="1"/>
  <c r="P272" i="2"/>
  <c r="N516" i="2"/>
  <c r="N514" i="2" s="1"/>
  <c r="S646" i="2"/>
  <c r="U646" i="2" s="1"/>
  <c r="T648" i="2"/>
  <c r="T734" i="2"/>
  <c r="L244" i="2"/>
  <c r="O244" i="2" s="1"/>
  <c r="I493" i="2"/>
  <c r="K493" i="2" s="1"/>
  <c r="R496" i="2"/>
  <c r="U496" i="2" s="1"/>
  <c r="Q267" i="2"/>
  <c r="N24" i="2"/>
  <c r="U46" i="2"/>
  <c r="Q60" i="2"/>
  <c r="T60" i="2" s="1"/>
  <c r="N62" i="2"/>
  <c r="N60" i="2" s="1"/>
  <c r="U74" i="2"/>
  <c r="I83" i="2"/>
  <c r="K86" i="2"/>
  <c r="I84" i="2"/>
  <c r="L98" i="2"/>
  <c r="O98" i="2" s="1"/>
  <c r="O100" i="2"/>
  <c r="L97" i="2"/>
  <c r="T100" i="2"/>
  <c r="R120" i="2"/>
  <c r="L121" i="2"/>
  <c r="O121" i="2" s="1"/>
  <c r="O123" i="2"/>
  <c r="L120" i="2"/>
  <c r="O120" i="2" s="1"/>
  <c r="U123" i="2"/>
  <c r="I139" i="2"/>
  <c r="K139" i="2" s="1"/>
  <c r="Q143" i="2"/>
  <c r="T143" i="2" s="1"/>
  <c r="P145" i="2"/>
  <c r="P159" i="2"/>
  <c r="U179" i="2"/>
  <c r="U188" i="2"/>
  <c r="O309" i="2"/>
  <c r="L307" i="2"/>
  <c r="O307" i="2" s="1"/>
  <c r="S307" i="2"/>
  <c r="S306" i="2"/>
  <c r="U306" i="2" s="1"/>
  <c r="T309" i="2"/>
  <c r="I320" i="2"/>
  <c r="K320" i="2" s="1"/>
  <c r="K331" i="2"/>
  <c r="O68" i="2"/>
  <c r="L62" i="2"/>
  <c r="O119" i="2"/>
  <c r="L124" i="2"/>
  <c r="O124" i="2" s="1"/>
  <c r="O126" i="2"/>
  <c r="T159" i="2"/>
  <c r="R161" i="2"/>
  <c r="U161" i="2" s="1"/>
  <c r="U163" i="2"/>
  <c r="R160" i="2"/>
  <c r="U160" i="2" s="1"/>
  <c r="O188" i="2"/>
  <c r="T305" i="2"/>
  <c r="O312" i="2"/>
  <c r="L310" i="2"/>
  <c r="O310" i="2" s="1"/>
  <c r="J333" i="2"/>
  <c r="K333" i="2" s="1"/>
  <c r="J344" i="2"/>
  <c r="K345" i="2"/>
  <c r="R25" i="2"/>
  <c r="U25" i="2" s="1"/>
  <c r="Q45" i="2"/>
  <c r="T45" i="2" s="1"/>
  <c r="P65" i="2"/>
  <c r="M75" i="2"/>
  <c r="P75" i="2" s="1"/>
  <c r="M98" i="2"/>
  <c r="P98" i="2" s="1"/>
  <c r="N97" i="2"/>
  <c r="N95" i="2" s="1"/>
  <c r="P126" i="2"/>
  <c r="M124" i="2"/>
  <c r="P124" i="2" s="1"/>
  <c r="S142" i="2"/>
  <c r="S140" i="2" s="1"/>
  <c r="L142" i="2"/>
  <c r="I214" i="2"/>
  <c r="K214" i="2" s="1"/>
  <c r="J232" i="2"/>
  <c r="J186" i="2" s="1"/>
  <c r="T272" i="2"/>
  <c r="M310" i="2"/>
  <c r="P310" i="2" s="1"/>
  <c r="P312" i="2"/>
  <c r="M306" i="2"/>
  <c r="N336" i="2"/>
  <c r="N334" i="2" s="1"/>
  <c r="N340" i="2"/>
  <c r="P362" i="2"/>
  <c r="N360" i="2"/>
  <c r="P360" i="2" s="1"/>
  <c r="T381" i="2"/>
  <c r="Q378" i="2"/>
  <c r="Q379" i="2"/>
  <c r="T379" i="2" s="1"/>
  <c r="O53" i="2"/>
  <c r="L47" i="2"/>
  <c r="L45" i="2" s="1"/>
  <c r="K110" i="2"/>
  <c r="I94" i="2"/>
  <c r="K94" i="2" s="1"/>
  <c r="T123" i="2"/>
  <c r="Q120" i="2"/>
  <c r="P141" i="2"/>
  <c r="P163" i="2"/>
  <c r="M161" i="2"/>
  <c r="P161" i="2" s="1"/>
  <c r="K261" i="2"/>
  <c r="I254" i="2"/>
  <c r="K254" i="2" s="1"/>
  <c r="N285" i="2"/>
  <c r="N283" i="2" s="1"/>
  <c r="M286" i="2"/>
  <c r="P286" i="2" s="1"/>
  <c r="M285" i="2"/>
  <c r="O305" i="2"/>
  <c r="O326" i="2"/>
  <c r="L323" i="2"/>
  <c r="L27" i="2"/>
  <c r="O65" i="2"/>
  <c r="T78" i="2"/>
  <c r="M142" i="2"/>
  <c r="P142" i="2" s="1"/>
  <c r="K231" i="2"/>
  <c r="S270" i="2"/>
  <c r="U270" i="2" s="1"/>
  <c r="S269" i="2"/>
  <c r="T269" i="2" s="1"/>
  <c r="U272" i="2"/>
  <c r="M24" i="2"/>
  <c r="M22" i="2" s="1"/>
  <c r="M27" i="2"/>
  <c r="P27" i="2" s="1"/>
  <c r="M62" i="2"/>
  <c r="Q97" i="2"/>
  <c r="S97" i="2"/>
  <c r="S95" i="2" s="1"/>
  <c r="S98" i="2"/>
  <c r="O103" i="2"/>
  <c r="Q121" i="2"/>
  <c r="I157" i="2"/>
  <c r="K157" i="2" s="1"/>
  <c r="M160" i="2"/>
  <c r="P160" i="2" s="1"/>
  <c r="P175" i="2"/>
  <c r="P179" i="2"/>
  <c r="M176" i="2"/>
  <c r="M177" i="2"/>
  <c r="S190" i="2"/>
  <c r="U190" i="2" s="1"/>
  <c r="U192" i="2"/>
  <c r="Q270" i="2"/>
  <c r="L270" i="2"/>
  <c r="O270" i="2" s="1"/>
  <c r="L269" i="2"/>
  <c r="O269" i="2" s="1"/>
  <c r="O272" i="2"/>
  <c r="L273" i="2"/>
  <c r="O273" i="2" s="1"/>
  <c r="O275" i="2"/>
  <c r="I281" i="2"/>
  <c r="K281" i="2" s="1"/>
  <c r="U284" i="2"/>
  <c r="R283" i="2"/>
  <c r="U283" i="2" s="1"/>
  <c r="P288" i="2"/>
  <c r="N323" i="2"/>
  <c r="N321" i="2" s="1"/>
  <c r="U336" i="2"/>
  <c r="P339" i="2"/>
  <c r="M337" i="2"/>
  <c r="P337" i="2" s="1"/>
  <c r="M336" i="2"/>
  <c r="R142" i="2"/>
  <c r="O288" i="2"/>
  <c r="K293" i="2"/>
  <c r="I282" i="2"/>
  <c r="K282" i="2" s="1"/>
  <c r="T335" i="2"/>
  <c r="Q334" i="2"/>
  <c r="T334" i="2" s="1"/>
  <c r="O342" i="2"/>
  <c r="K387" i="2"/>
  <c r="I375" i="2"/>
  <c r="N189" i="2"/>
  <c r="N187" i="2" s="1"/>
  <c r="L235" i="2"/>
  <c r="L234" i="2"/>
  <c r="L255" i="2"/>
  <c r="U309" i="2"/>
  <c r="L336" i="2"/>
  <c r="L360" i="2"/>
  <c r="O362" i="2"/>
  <c r="K210" i="2"/>
  <c r="I203" i="2"/>
  <c r="K203" i="2" s="1"/>
  <c r="I239" i="2"/>
  <c r="K239" i="2" s="1"/>
  <c r="J366" i="2"/>
  <c r="K366" i="2" s="1"/>
  <c r="K372" i="2"/>
  <c r="N376" i="2"/>
  <c r="T395" i="2"/>
  <c r="Q393" i="2"/>
  <c r="T393" i="2" s="1"/>
  <c r="P329" i="2"/>
  <c r="M323" i="2"/>
  <c r="U358" i="2"/>
  <c r="R357" i="2"/>
  <c r="U357" i="2" s="1"/>
  <c r="T419" i="2"/>
  <c r="Q416" i="2"/>
  <c r="T416" i="2" s="1"/>
  <c r="Q417" i="2"/>
  <c r="T417" i="2" s="1"/>
  <c r="O358" i="2"/>
  <c r="L376" i="2"/>
  <c r="O376" i="2" s="1"/>
  <c r="O496" i="2"/>
  <c r="L494" i="2"/>
  <c r="O494" i="2" s="1"/>
  <c r="Q535" i="2"/>
  <c r="T535" i="2" s="1"/>
  <c r="T537" i="2"/>
  <c r="O557" i="2"/>
  <c r="L556" i="2"/>
  <c r="O556" i="2" s="1"/>
  <c r="L643" i="2"/>
  <c r="O643" i="2" s="1"/>
  <c r="O645" i="2"/>
  <c r="M359" i="2"/>
  <c r="T415" i="2"/>
  <c r="M617" i="2"/>
  <c r="P617" i="2" s="1"/>
  <c r="P619" i="2"/>
  <c r="K633" i="2"/>
  <c r="K632" i="2"/>
  <c r="K631" i="2"/>
  <c r="K627" i="2"/>
  <c r="M643" i="2"/>
  <c r="P643" i="2" s="1"/>
  <c r="P645" i="2"/>
  <c r="K679" i="2"/>
  <c r="Q715" i="2"/>
  <c r="T715" i="2" s="1"/>
  <c r="T717" i="2"/>
  <c r="L760" i="2"/>
  <c r="O760" i="2" s="1"/>
  <c r="O762" i="2"/>
  <c r="U415" i="2"/>
  <c r="T622" i="2"/>
  <c r="Q619" i="2"/>
  <c r="Q617" i="2" s="1"/>
  <c r="Q620" i="2"/>
  <c r="T644" i="2"/>
  <c r="L691" i="2"/>
  <c r="O691" i="2" s="1"/>
  <c r="O693" i="2"/>
  <c r="O415" i="2"/>
  <c r="L414" i="2"/>
  <c r="O414" i="2" s="1"/>
  <c r="Q494" i="2"/>
  <c r="T494" i="2" s="1"/>
  <c r="T496" i="2"/>
  <c r="L520" i="2"/>
  <c r="O520" i="2" s="1"/>
  <c r="O522" i="2"/>
  <c r="L516" i="2"/>
  <c r="T557" i="2"/>
  <c r="Q556" i="2"/>
  <c r="T556" i="2" s="1"/>
  <c r="Q577" i="2"/>
  <c r="T577" i="2" s="1"/>
  <c r="T579" i="2"/>
  <c r="T618" i="2"/>
  <c r="M691" i="2"/>
  <c r="P691" i="2" s="1"/>
  <c r="P693" i="2"/>
  <c r="P515" i="2"/>
  <c r="M520" i="2"/>
  <c r="P520" i="2" s="1"/>
  <c r="P522" i="2"/>
  <c r="M516" i="2"/>
  <c r="P516" i="2" s="1"/>
  <c r="U557" i="2"/>
  <c r="R556" i="2"/>
  <c r="U556" i="2" s="1"/>
  <c r="U618" i="2"/>
  <c r="T692" i="2"/>
  <c r="K706" i="2"/>
  <c r="I702" i="2"/>
  <c r="M414" i="2"/>
  <c r="P414" i="2" s="1"/>
  <c r="P416" i="2"/>
  <c r="Q600" i="2"/>
  <c r="T600" i="2" s="1"/>
  <c r="T602" i="2"/>
  <c r="O618" i="2"/>
  <c r="L617" i="2"/>
  <c r="O617" i="2" s="1"/>
  <c r="Q760" i="2"/>
  <c r="T762" i="2"/>
  <c r="K774" i="2"/>
  <c r="R731" i="2"/>
  <c r="M556" i="2"/>
  <c r="P556" i="2" s="1"/>
  <c r="M223" i="1"/>
  <c r="N142" i="1"/>
  <c r="S517" i="1"/>
  <c r="M606" i="1"/>
  <c r="P606" i="1" s="1"/>
  <c r="S233" i="1"/>
  <c r="Q190" i="1"/>
  <c r="S215" i="1"/>
  <c r="L541" i="1"/>
  <c r="O541" i="1" s="1"/>
  <c r="L538" i="1"/>
  <c r="O538" i="1" s="1"/>
  <c r="M215" i="1"/>
  <c r="S646" i="1"/>
  <c r="Q223" i="1"/>
  <c r="L233" i="1"/>
  <c r="N623" i="1"/>
  <c r="S223" i="1"/>
  <c r="I424" i="1"/>
  <c r="I413" i="1" s="1"/>
  <c r="K413" i="1" s="1"/>
  <c r="J728" i="1"/>
  <c r="K728" i="1" s="1"/>
  <c r="S721" i="1"/>
  <c r="R233" i="1"/>
  <c r="S120" i="1"/>
  <c r="S204" i="1"/>
  <c r="R337" i="1"/>
  <c r="U337" i="1" s="1"/>
  <c r="M97" i="1"/>
  <c r="M141" i="1"/>
  <c r="P141" i="1" s="1"/>
  <c r="N193" i="1"/>
  <c r="I186" i="1"/>
  <c r="K186" i="1" s="1"/>
  <c r="J186" i="1"/>
  <c r="N189" i="1"/>
  <c r="K628" i="1"/>
  <c r="Q268" i="1"/>
  <c r="T268" i="1" s="1"/>
  <c r="K86" i="1"/>
  <c r="K89" i="1"/>
  <c r="Q97" i="1"/>
  <c r="K151" i="1"/>
  <c r="K320" i="1"/>
  <c r="S359" i="1"/>
  <c r="J633" i="1"/>
  <c r="J627" i="1" s="1"/>
  <c r="J616" i="1" s="1"/>
  <c r="L121" i="1"/>
  <c r="O121" i="1" s="1"/>
  <c r="Q175" i="1"/>
  <c r="T175" i="1" s="1"/>
  <c r="S718" i="1"/>
  <c r="Q360" i="1"/>
  <c r="T360" i="1" s="1"/>
  <c r="J637" i="1"/>
  <c r="J636" i="1" s="1"/>
  <c r="J702" i="1"/>
  <c r="J200" i="1"/>
  <c r="K277" i="1"/>
  <c r="R416" i="1"/>
  <c r="U416" i="1" s="1"/>
  <c r="L204" i="1"/>
  <c r="S66" i="1"/>
  <c r="J433" i="1"/>
  <c r="L66" i="1"/>
  <c r="O66" i="1" s="1"/>
  <c r="M379" i="1"/>
  <c r="P379" i="1" s="1"/>
  <c r="J352" i="1"/>
  <c r="Q363" i="1"/>
  <c r="T363" i="1" s="1"/>
  <c r="K369" i="1"/>
  <c r="S536" i="1"/>
  <c r="S535" i="1" s="1"/>
  <c r="M692" i="1"/>
  <c r="P692" i="1" s="1"/>
  <c r="M537" i="1"/>
  <c r="P537" i="1" s="1"/>
  <c r="L215" i="1"/>
  <c r="N177" i="1"/>
  <c r="P179" i="1"/>
  <c r="K303" i="1"/>
  <c r="N323" i="1"/>
  <c r="J675" i="1"/>
  <c r="K675" i="1" s="1"/>
  <c r="K701" i="1"/>
  <c r="Q358" i="1"/>
  <c r="T358" i="1" s="1"/>
  <c r="J447" i="1"/>
  <c r="J441" i="1" s="1"/>
  <c r="J424" i="1" s="1"/>
  <c r="J413" i="1" s="1"/>
  <c r="U123" i="1"/>
  <c r="Q359" i="1"/>
  <c r="R124" i="1"/>
  <c r="U124" i="1" s="1"/>
  <c r="K85" i="1"/>
  <c r="U192" i="1"/>
  <c r="K214" i="1"/>
  <c r="M416" i="1"/>
  <c r="P416" i="1" s="1"/>
  <c r="Q558" i="1"/>
  <c r="T558" i="1" s="1"/>
  <c r="L730" i="1"/>
  <c r="O730" i="1" s="1"/>
  <c r="T734" i="1"/>
  <c r="P308" i="1"/>
  <c r="S730" i="1"/>
  <c r="R24" i="1"/>
  <c r="K109" i="1"/>
  <c r="Q284" i="1"/>
  <c r="T284" i="1" s="1"/>
  <c r="O339" i="1"/>
  <c r="N340" i="1"/>
  <c r="J460" i="1"/>
  <c r="Q516" i="1"/>
  <c r="T516" i="1" s="1"/>
  <c r="T696" i="1"/>
  <c r="N120" i="1"/>
  <c r="N377" i="1"/>
  <c r="N536" i="1"/>
  <c r="N535" i="1" s="1"/>
  <c r="K674" i="1"/>
  <c r="L693" i="1"/>
  <c r="O693" i="1" s="1"/>
  <c r="K94" i="1"/>
  <c r="S285" i="1"/>
  <c r="S289" i="1"/>
  <c r="Q378" i="1"/>
  <c r="P383" i="1"/>
  <c r="N417" i="1"/>
  <c r="M515" i="1"/>
  <c r="P515" i="1" s="1"/>
  <c r="K753" i="1"/>
  <c r="P53" i="1"/>
  <c r="Q76" i="1"/>
  <c r="M164" i="1"/>
  <c r="P164" i="1" s="1"/>
  <c r="K168" i="1"/>
  <c r="Q536" i="1"/>
  <c r="T536" i="1" s="1"/>
  <c r="L557" i="1"/>
  <c r="O557" i="1" s="1"/>
  <c r="S558" i="1"/>
  <c r="Q731" i="1"/>
  <c r="L761" i="1"/>
  <c r="O761" i="1" s="1"/>
  <c r="S47" i="1"/>
  <c r="S45" i="1" s="1"/>
  <c r="N176" i="1"/>
  <c r="R289" i="1"/>
  <c r="U289" i="1" s="1"/>
  <c r="N327" i="1"/>
  <c r="O362" i="1"/>
  <c r="N363" i="1"/>
  <c r="N516" i="1"/>
  <c r="L766" i="1"/>
  <c r="O766" i="1" s="1"/>
  <c r="S63" i="1"/>
  <c r="Q51" i="1"/>
  <c r="T51" i="1" s="1"/>
  <c r="P65" i="1"/>
  <c r="N121" i="1"/>
  <c r="I157" i="1"/>
  <c r="K157" i="1" s="1"/>
  <c r="Q180" i="1"/>
  <c r="T180" i="1" s="1"/>
  <c r="K230" i="1"/>
  <c r="Q340" i="1"/>
  <c r="T340" i="1" s="1"/>
  <c r="S420" i="1"/>
  <c r="J485" i="1"/>
  <c r="Q495" i="1"/>
  <c r="R496" i="1"/>
  <c r="S515" i="1"/>
  <c r="L537" i="1"/>
  <c r="O537" i="1" s="1"/>
  <c r="N557" i="1"/>
  <c r="L645" i="1"/>
  <c r="O645" i="1" s="1"/>
  <c r="Q644" i="1"/>
  <c r="T644" i="1" s="1"/>
  <c r="K680" i="1"/>
  <c r="K690" i="1"/>
  <c r="K706" i="1"/>
  <c r="K756" i="1"/>
  <c r="S761" i="1"/>
  <c r="N762" i="1"/>
  <c r="K785" i="1"/>
  <c r="L619" i="1"/>
  <c r="O619" i="1" s="1"/>
  <c r="J83" i="1"/>
  <c r="J71" i="1" s="1"/>
  <c r="J84" i="1"/>
  <c r="J72" i="1" s="1"/>
  <c r="S176" i="1"/>
  <c r="L306" i="1"/>
  <c r="S323" i="1"/>
  <c r="M395" i="1"/>
  <c r="P395" i="1" s="1"/>
  <c r="K745" i="1"/>
  <c r="K750" i="1"/>
  <c r="T765" i="1"/>
  <c r="N273" i="1"/>
  <c r="K88" i="1"/>
  <c r="L160" i="1"/>
  <c r="S180" i="1"/>
  <c r="N270" i="1"/>
  <c r="N305" i="1"/>
  <c r="L323" i="1"/>
  <c r="Q327" i="1"/>
  <c r="T327" i="1" s="1"/>
  <c r="S327" i="1"/>
  <c r="Q335" i="1"/>
  <c r="T335" i="1" s="1"/>
  <c r="M335" i="1"/>
  <c r="P335" i="1" s="1"/>
  <c r="S358" i="1"/>
  <c r="M396" i="1"/>
  <c r="P396" i="1" s="1"/>
  <c r="N415" i="1"/>
  <c r="M495" i="1"/>
  <c r="P495" i="1" s="1"/>
  <c r="L517" i="1"/>
  <c r="O517" i="1" s="1"/>
  <c r="S516" i="1"/>
  <c r="S520" i="1"/>
  <c r="R557" i="1"/>
  <c r="U557" i="1" s="1"/>
  <c r="R558" i="1"/>
  <c r="U558" i="1" s="1"/>
  <c r="K704" i="1"/>
  <c r="K710" i="1"/>
  <c r="M716" i="1"/>
  <c r="P716" i="1" s="1"/>
  <c r="Q730" i="1"/>
  <c r="T730" i="1" s="1"/>
  <c r="N730" i="1"/>
  <c r="M735" i="1"/>
  <c r="P735" i="1" s="1"/>
  <c r="R762" i="1"/>
  <c r="L496" i="1"/>
  <c r="O496" i="1" s="1"/>
  <c r="K493" i="1"/>
  <c r="R27" i="1"/>
  <c r="U27" i="1" s="1"/>
  <c r="O48" i="1"/>
  <c r="L51" i="1"/>
  <c r="O51" i="1" s="1"/>
  <c r="M61" i="1"/>
  <c r="S62" i="1"/>
  <c r="N66" i="1"/>
  <c r="P78" i="1"/>
  <c r="I84" i="1"/>
  <c r="I93" i="1"/>
  <c r="K93" i="1" s="1"/>
  <c r="M121" i="1"/>
  <c r="P121" i="1" s="1"/>
  <c r="N124" i="1"/>
  <c r="O145" i="1"/>
  <c r="K138" i="1"/>
  <c r="M176" i="1"/>
  <c r="T181" i="1"/>
  <c r="K229" i="1"/>
  <c r="K231" i="1"/>
  <c r="T272" i="1"/>
  <c r="T290" i="1"/>
  <c r="Q323" i="1"/>
  <c r="T323" i="1" s="1"/>
  <c r="O326" i="1"/>
  <c r="S337" i="1"/>
  <c r="J344" i="1"/>
  <c r="N359" i="1"/>
  <c r="P362" i="1"/>
  <c r="N495" i="1"/>
  <c r="U499" i="1"/>
  <c r="O518" i="1"/>
  <c r="L558" i="1"/>
  <c r="O558" i="1" s="1"/>
  <c r="N562" i="1"/>
  <c r="M583" i="1"/>
  <c r="P583" i="1" s="1"/>
  <c r="N618" i="1"/>
  <c r="N619" i="1"/>
  <c r="S645" i="1"/>
  <c r="J676" i="1"/>
  <c r="K676" i="1" s="1"/>
  <c r="Q693" i="1"/>
  <c r="T693" i="1" s="1"/>
  <c r="R717" i="1"/>
  <c r="U717" i="1" s="1"/>
  <c r="S717" i="1"/>
  <c r="M730" i="1"/>
  <c r="P730" i="1" s="1"/>
  <c r="I759" i="1"/>
  <c r="K759" i="1" s="1"/>
  <c r="Q761" i="1"/>
  <c r="T761" i="1" s="1"/>
  <c r="K784" i="1"/>
  <c r="S48" i="1"/>
  <c r="R23" i="1"/>
  <c r="U23" i="1" s="1"/>
  <c r="M188" i="1"/>
  <c r="P188" i="1" s="1"/>
  <c r="Q324" i="1"/>
  <c r="T324" i="1" s="1"/>
  <c r="S324" i="1"/>
  <c r="L336" i="1"/>
  <c r="P380" i="1"/>
  <c r="N378" i="1"/>
  <c r="N395" i="1"/>
  <c r="N399" i="1"/>
  <c r="S415" i="1"/>
  <c r="N420" i="1"/>
  <c r="J448" i="1"/>
  <c r="J442" i="1" s="1"/>
  <c r="J468" i="1"/>
  <c r="P518" i="1"/>
  <c r="L515" i="1"/>
  <c r="O515" i="1" s="1"/>
  <c r="R761" i="1"/>
  <c r="U761" i="1" s="1"/>
  <c r="R335" i="1"/>
  <c r="U335" i="1" s="1"/>
  <c r="R536" i="1"/>
  <c r="U536" i="1" s="1"/>
  <c r="I702" i="1"/>
  <c r="P48" i="1"/>
  <c r="N63" i="1"/>
  <c r="N47" i="1"/>
  <c r="N45" i="1" s="1"/>
  <c r="S76" i="1"/>
  <c r="R76" i="1"/>
  <c r="I83" i="1"/>
  <c r="I71" i="1" s="1"/>
  <c r="K87" i="1"/>
  <c r="K90" i="1"/>
  <c r="O122" i="1"/>
  <c r="K139" i="1"/>
  <c r="S159" i="1"/>
  <c r="N164" i="1"/>
  <c r="S177" i="1"/>
  <c r="R190" i="1"/>
  <c r="T192" i="1"/>
  <c r="K199" i="1"/>
  <c r="S268" i="1"/>
  <c r="R284" i="1"/>
  <c r="U284" i="1" s="1"/>
  <c r="N289" i="1"/>
  <c r="K297" i="1"/>
  <c r="N306" i="1"/>
  <c r="N310" i="1"/>
  <c r="Q322" i="1"/>
  <c r="M336" i="1"/>
  <c r="S340" i="1"/>
  <c r="K366" i="1"/>
  <c r="T381" i="1"/>
  <c r="M377" i="1"/>
  <c r="P377" i="1" s="1"/>
  <c r="T383" i="1"/>
  <c r="R394" i="1"/>
  <c r="U394" i="1" s="1"/>
  <c r="M415" i="1"/>
  <c r="R420" i="1"/>
  <c r="U420" i="1" s="1"/>
  <c r="J477" i="1"/>
  <c r="L536" i="1"/>
  <c r="L578" i="1"/>
  <c r="O578" i="1" s="1"/>
  <c r="P605" i="1"/>
  <c r="N606" i="1"/>
  <c r="K677" i="1"/>
  <c r="J727" i="1"/>
  <c r="K727" i="1" s="1"/>
  <c r="M763" i="1"/>
  <c r="P763" i="1" s="1"/>
  <c r="R537" i="1"/>
  <c r="U537" i="1" s="1"/>
  <c r="S142" i="1"/>
  <c r="N268" i="1"/>
  <c r="Q306" i="1"/>
  <c r="N382" i="1"/>
  <c r="J478" i="1"/>
  <c r="N520" i="1"/>
  <c r="R578" i="1"/>
  <c r="U578" i="1" s="1"/>
  <c r="S620" i="1"/>
  <c r="J703" i="1"/>
  <c r="L731" i="1"/>
  <c r="O731" i="1" s="1"/>
  <c r="N732" i="1"/>
  <c r="M761" i="1"/>
  <c r="M762" i="1"/>
  <c r="P762" i="1" s="1"/>
  <c r="S61" i="1"/>
  <c r="Q63" i="1"/>
  <c r="T63" i="1" s="1"/>
  <c r="K91" i="1"/>
  <c r="S27" i="1"/>
  <c r="S124" i="1"/>
  <c r="K130" i="1"/>
  <c r="P145" i="1"/>
  <c r="K155" i="1"/>
  <c r="R159" i="1"/>
  <c r="U159" i="1" s="1"/>
  <c r="K220" i="1"/>
  <c r="L268" i="1"/>
  <c r="O268" i="1" s="1"/>
  <c r="P272" i="1"/>
  <c r="K294" i="1"/>
  <c r="L305" i="1"/>
  <c r="O305" i="1" s="1"/>
  <c r="Q336" i="1"/>
  <c r="T336" i="1" s="1"/>
  <c r="M359" i="1"/>
  <c r="R399" i="1"/>
  <c r="U399" i="1" s="1"/>
  <c r="K504" i="1"/>
  <c r="R515" i="1"/>
  <c r="U515" i="1" s="1"/>
  <c r="M557" i="1"/>
  <c r="P557" i="1" s="1"/>
  <c r="M579" i="1"/>
  <c r="P579" i="1" s="1"/>
  <c r="U604" i="1"/>
  <c r="Q623" i="1"/>
  <c r="T623" i="1" s="1"/>
  <c r="S623" i="1"/>
  <c r="M645" i="1"/>
  <c r="P645" i="1" s="1"/>
  <c r="N649" i="1"/>
  <c r="J655" i="1"/>
  <c r="K655" i="1" s="1"/>
  <c r="N697" i="1"/>
  <c r="K708" i="1"/>
  <c r="L717" i="1"/>
  <c r="O717" i="1" s="1"/>
  <c r="N761" i="1"/>
  <c r="L763" i="1"/>
  <c r="O763" i="1" s="1"/>
  <c r="M766" i="1"/>
  <c r="P766" i="1" s="1"/>
  <c r="K783" i="1"/>
  <c r="N23" i="1"/>
  <c r="T145" i="1"/>
  <c r="Q142" i="1"/>
  <c r="T142" i="1" s="1"/>
  <c r="R305" i="1"/>
  <c r="U305" i="1" s="1"/>
  <c r="U308" i="1"/>
  <c r="M644" i="1"/>
  <c r="P644" i="1" s="1"/>
  <c r="P650" i="1"/>
  <c r="U195" i="1"/>
  <c r="R193" i="1"/>
  <c r="U193" i="1" s="1"/>
  <c r="Q74" i="1"/>
  <c r="T74" i="1" s="1"/>
  <c r="T80" i="1"/>
  <c r="L27" i="1"/>
  <c r="O27" i="1" s="1"/>
  <c r="M47" i="1"/>
  <c r="M45" i="1" s="1"/>
  <c r="M62" i="1"/>
  <c r="Q61" i="1"/>
  <c r="T61" i="1" s="1"/>
  <c r="T67" i="1"/>
  <c r="P77" i="1"/>
  <c r="M76" i="1"/>
  <c r="Q79" i="1"/>
  <c r="T79" i="1" s="1"/>
  <c r="T125" i="1"/>
  <c r="Q119" i="1"/>
  <c r="T119" i="1" s="1"/>
  <c r="O178" i="1"/>
  <c r="L177" i="1"/>
  <c r="R189" i="1"/>
  <c r="O197" i="1"/>
  <c r="O290" i="1"/>
  <c r="L289" i="1"/>
  <c r="O289" i="1" s="1"/>
  <c r="R324" i="1"/>
  <c r="U324" i="1" s="1"/>
  <c r="N358" i="1"/>
  <c r="N360" i="1"/>
  <c r="T419" i="1"/>
  <c r="Q417" i="1"/>
  <c r="T417" i="1" s="1"/>
  <c r="Q416" i="1"/>
  <c r="T416" i="1" s="1"/>
  <c r="S601" i="1"/>
  <c r="S603" i="1"/>
  <c r="T605" i="1"/>
  <c r="Q602" i="1"/>
  <c r="T602" i="1" s="1"/>
  <c r="L285" i="1"/>
  <c r="O288" i="1"/>
  <c r="P542" i="1"/>
  <c r="M541" i="1"/>
  <c r="P541" i="1" s="1"/>
  <c r="L74" i="1"/>
  <c r="O74" i="1" s="1"/>
  <c r="O77" i="1"/>
  <c r="N119" i="1"/>
  <c r="S143" i="1"/>
  <c r="S141" i="1"/>
  <c r="M161" i="1"/>
  <c r="M285" i="1"/>
  <c r="P288" i="1"/>
  <c r="Q289" i="1"/>
  <c r="T289" i="1" s="1"/>
  <c r="T291" i="1"/>
  <c r="Q285" i="1"/>
  <c r="T285" i="1" s="1"/>
  <c r="L327" i="1"/>
  <c r="O327" i="1" s="1"/>
  <c r="O328" i="1"/>
  <c r="M27" i="1"/>
  <c r="P27" i="1" s="1"/>
  <c r="Q47" i="1"/>
  <c r="T47" i="1" s="1"/>
  <c r="P50" i="1"/>
  <c r="M63" i="1"/>
  <c r="R61" i="1"/>
  <c r="U61" i="1" s="1"/>
  <c r="N76" i="1"/>
  <c r="N74" i="1"/>
  <c r="S74" i="1"/>
  <c r="L97" i="1"/>
  <c r="N98" i="1"/>
  <c r="N101" i="1"/>
  <c r="U125" i="1"/>
  <c r="R119" i="1"/>
  <c r="U119" i="1" s="1"/>
  <c r="K137" i="1"/>
  <c r="M142" i="1"/>
  <c r="L175" i="1"/>
  <c r="P178" i="1"/>
  <c r="M175" i="1"/>
  <c r="P175" i="1" s="1"/>
  <c r="U181" i="1"/>
  <c r="R175" i="1"/>
  <c r="K210" i="1"/>
  <c r="R268" i="1"/>
  <c r="U268" i="1" s="1"/>
  <c r="L284" i="1"/>
  <c r="T287" i="1"/>
  <c r="Q286" i="1"/>
  <c r="T286" i="1" s="1"/>
  <c r="K315" i="1"/>
  <c r="R322" i="1"/>
  <c r="L337" i="1"/>
  <c r="O338" i="1"/>
  <c r="P400" i="1"/>
  <c r="M399" i="1"/>
  <c r="P399" i="1" s="1"/>
  <c r="M394" i="1"/>
  <c r="S399" i="1"/>
  <c r="S395" i="1"/>
  <c r="M120" i="1"/>
  <c r="P120" i="1" s="1"/>
  <c r="U144" i="1"/>
  <c r="R141" i="1"/>
  <c r="U141" i="1" s="1"/>
  <c r="T165" i="1"/>
  <c r="Q159" i="1"/>
  <c r="T159" i="1" s="1"/>
  <c r="I170" i="1"/>
  <c r="K170" i="1" s="1"/>
  <c r="K169" i="1"/>
  <c r="U166" i="1"/>
  <c r="R160" i="1"/>
  <c r="U160" i="1" s="1"/>
  <c r="R177" i="1"/>
  <c r="U177" i="1" s="1"/>
  <c r="I281" i="1"/>
  <c r="K281" i="1" s="1"/>
  <c r="L24" i="1"/>
  <c r="O80" i="1"/>
  <c r="L79" i="1"/>
  <c r="O79" i="1" s="1"/>
  <c r="S119" i="1"/>
  <c r="S121" i="1"/>
  <c r="O125" i="1"/>
  <c r="L119" i="1"/>
  <c r="O119" i="1" s="1"/>
  <c r="M160" i="1"/>
  <c r="Q176" i="1"/>
  <c r="O192" i="1"/>
  <c r="Q269" i="1"/>
  <c r="R285" i="1"/>
  <c r="U285" i="1" s="1"/>
  <c r="U288" i="1"/>
  <c r="P309" i="1"/>
  <c r="M306" i="1"/>
  <c r="R310" i="1"/>
  <c r="U310" i="1" s="1"/>
  <c r="U312" i="1"/>
  <c r="L324" i="1"/>
  <c r="O325" i="1"/>
  <c r="L322" i="1"/>
  <c r="U326" i="1"/>
  <c r="R323" i="1"/>
  <c r="U323" i="1" s="1"/>
  <c r="Q379" i="1"/>
  <c r="T380" i="1"/>
  <c r="Q377" i="1"/>
  <c r="N79" i="1"/>
  <c r="P539" i="1"/>
  <c r="M538" i="1"/>
  <c r="P538" i="1" s="1"/>
  <c r="N26" i="1"/>
  <c r="U145" i="1"/>
  <c r="R142" i="1"/>
  <c r="U142" i="1" s="1"/>
  <c r="M159" i="1"/>
  <c r="P159" i="1" s="1"/>
  <c r="K221" i="1"/>
  <c r="T99" i="1"/>
  <c r="Q96" i="1"/>
  <c r="T96" i="1" s="1"/>
  <c r="Q98" i="1"/>
  <c r="M23" i="1"/>
  <c r="P23" i="1" s="1"/>
  <c r="N24" i="1"/>
  <c r="Q27" i="1"/>
  <c r="T27" i="1" s="1"/>
  <c r="R47" i="1"/>
  <c r="U47" i="1" s="1"/>
  <c r="N61" i="1"/>
  <c r="M66" i="1"/>
  <c r="P66" i="1" s="1"/>
  <c r="R74" i="1"/>
  <c r="U74" i="1" s="1"/>
  <c r="U77" i="1"/>
  <c r="K110" i="1"/>
  <c r="M119" i="1"/>
  <c r="P122" i="1"/>
  <c r="Q121" i="1"/>
  <c r="Q120" i="1"/>
  <c r="M124" i="1"/>
  <c r="P124" i="1" s="1"/>
  <c r="I117" i="1"/>
  <c r="K117" i="1" s="1"/>
  <c r="K128" i="1"/>
  <c r="L141" i="1"/>
  <c r="O141" i="1" s="1"/>
  <c r="T144" i="1"/>
  <c r="Q141" i="1"/>
  <c r="T141" i="1" s="1"/>
  <c r="N146" i="1"/>
  <c r="Q160" i="1"/>
  <c r="T160" i="1" s="1"/>
  <c r="S161" i="1"/>
  <c r="S160" i="1"/>
  <c r="S175" i="1"/>
  <c r="R176" i="1"/>
  <c r="U176" i="1" s="1"/>
  <c r="O181" i="1"/>
  <c r="L180" i="1"/>
  <c r="O180" i="1" s="1"/>
  <c r="M190" i="1"/>
  <c r="Q193" i="1"/>
  <c r="T193" i="1" s="1"/>
  <c r="T195" i="1"/>
  <c r="Q189" i="1"/>
  <c r="N269" i="1"/>
  <c r="P274" i="1"/>
  <c r="M268" i="1"/>
  <c r="P268" i="1" s="1"/>
  <c r="L286" i="1"/>
  <c r="R327" i="1"/>
  <c r="U327" i="1" s="1"/>
  <c r="U342" i="1"/>
  <c r="R336" i="1"/>
  <c r="U336" i="1" s="1"/>
  <c r="P581" i="1"/>
  <c r="M578" i="1"/>
  <c r="M580" i="1"/>
  <c r="P580" i="1" s="1"/>
  <c r="R63" i="1"/>
  <c r="U63" i="1" s="1"/>
  <c r="M79" i="1"/>
  <c r="P79" i="1" s="1"/>
  <c r="N161" i="1"/>
  <c r="S273" i="1"/>
  <c r="R307" i="1"/>
  <c r="L310" i="1"/>
  <c r="O310" i="1" s="1"/>
  <c r="U338" i="1"/>
  <c r="P365" i="1"/>
  <c r="P604" i="1"/>
  <c r="M603" i="1"/>
  <c r="P603" i="1" s="1"/>
  <c r="O621" i="1"/>
  <c r="L620" i="1"/>
  <c r="O620" i="1" s="1"/>
  <c r="O65" i="1"/>
  <c r="O78" i="1"/>
  <c r="S97" i="1"/>
  <c r="S95" i="1" s="1"/>
  <c r="Q124" i="1"/>
  <c r="T124" i="1" s="1"/>
  <c r="Q177" i="1"/>
  <c r="T177" i="1" s="1"/>
  <c r="O179" i="1"/>
  <c r="N180" i="1"/>
  <c r="L193" i="1"/>
  <c r="O193" i="1" s="1"/>
  <c r="S193" i="1"/>
  <c r="M270" i="1"/>
  <c r="S270" i="1"/>
  <c r="R286" i="1"/>
  <c r="U286" i="1" s="1"/>
  <c r="S286" i="1"/>
  <c r="S306" i="1"/>
  <c r="P326" i="1"/>
  <c r="N335" i="1"/>
  <c r="O341" i="1"/>
  <c r="L358" i="1"/>
  <c r="O358" i="1" s="1"/>
  <c r="U364" i="1"/>
  <c r="R358" i="1"/>
  <c r="U358" i="1" s="1"/>
  <c r="M378" i="1"/>
  <c r="P384" i="1"/>
  <c r="T421" i="1"/>
  <c r="Q420" i="1"/>
  <c r="T420" i="1" s="1"/>
  <c r="Q415" i="1"/>
  <c r="Q500" i="1"/>
  <c r="T500" i="1" s="1"/>
  <c r="T502" i="1"/>
  <c r="M601" i="1"/>
  <c r="P601" i="1" s="1"/>
  <c r="O625" i="1"/>
  <c r="L623" i="1"/>
  <c r="O623" i="1" s="1"/>
  <c r="P720" i="1"/>
  <c r="M717" i="1"/>
  <c r="P717" i="1" s="1"/>
  <c r="Q101" i="1"/>
  <c r="T101" i="1" s="1"/>
  <c r="S101" i="1"/>
  <c r="K115" i="1"/>
  <c r="N143" i="1"/>
  <c r="S146" i="1"/>
  <c r="K153" i="1"/>
  <c r="K239" i="1"/>
  <c r="K266" i="1"/>
  <c r="K296" i="1"/>
  <c r="N324" i="1"/>
  <c r="P339" i="1"/>
  <c r="U398" i="1"/>
  <c r="R395" i="1"/>
  <c r="U395" i="1" s="1"/>
  <c r="N559" i="1"/>
  <c r="R644" i="1"/>
  <c r="U644" i="1" s="1"/>
  <c r="U647" i="1"/>
  <c r="L762" i="1"/>
  <c r="O762" i="1" s="1"/>
  <c r="R340" i="1"/>
  <c r="U340" i="1" s="1"/>
  <c r="M363" i="1"/>
  <c r="P363" i="1" s="1"/>
  <c r="S396" i="1"/>
  <c r="S394" i="1"/>
  <c r="M517" i="1"/>
  <c r="P517" i="1" s="1"/>
  <c r="M516" i="1"/>
  <c r="P516" i="1" s="1"/>
  <c r="P519" i="1"/>
  <c r="N583" i="1"/>
  <c r="N579" i="1"/>
  <c r="R693" i="1"/>
  <c r="U693" i="1" s="1"/>
  <c r="K741" i="1"/>
  <c r="Q337" i="1"/>
  <c r="T337" i="1" s="1"/>
  <c r="L396" i="1"/>
  <c r="O396" i="1" s="1"/>
  <c r="O397" i="1"/>
  <c r="L394" i="1"/>
  <c r="Q497" i="1"/>
  <c r="T499" i="1"/>
  <c r="Q517" i="1"/>
  <c r="T517" i="1" s="1"/>
  <c r="T518" i="1"/>
  <c r="Q515" i="1"/>
  <c r="T563" i="1"/>
  <c r="Q562" i="1"/>
  <c r="T562" i="1" s="1"/>
  <c r="Q557" i="1"/>
  <c r="S580" i="1"/>
  <c r="S578" i="1"/>
  <c r="T584" i="1"/>
  <c r="Q583" i="1"/>
  <c r="T583" i="1" s="1"/>
  <c r="Q578" i="1"/>
  <c r="T578" i="1" s="1"/>
  <c r="R619" i="1"/>
  <c r="L646" i="1"/>
  <c r="O646" i="1" s="1"/>
  <c r="O647" i="1"/>
  <c r="L644" i="1"/>
  <c r="O644" i="1" s="1"/>
  <c r="S649" i="1"/>
  <c r="S644" i="1"/>
  <c r="U733" i="1"/>
  <c r="R730" i="1"/>
  <c r="U730" i="1" s="1"/>
  <c r="U734" i="1"/>
  <c r="R731" i="1"/>
  <c r="N735" i="1"/>
  <c r="N731" i="1"/>
  <c r="J333" i="1"/>
  <c r="M358" i="1"/>
  <c r="P361" i="1"/>
  <c r="S377" i="1"/>
  <c r="L420" i="1"/>
  <c r="O420" i="1" s="1"/>
  <c r="R516" i="1"/>
  <c r="U516" i="1" s="1"/>
  <c r="M520" i="1"/>
  <c r="P520" i="1" s="1"/>
  <c r="O521" i="1"/>
  <c r="U521" i="1"/>
  <c r="M558" i="1"/>
  <c r="P558" i="1" s="1"/>
  <c r="U561" i="1"/>
  <c r="L603" i="1"/>
  <c r="O603" i="1" s="1"/>
  <c r="K629" i="1"/>
  <c r="J662" i="1"/>
  <c r="K662" i="1" s="1"/>
  <c r="N694" i="1"/>
  <c r="S697" i="1"/>
  <c r="S716" i="1"/>
  <c r="N718" i="1"/>
  <c r="M721" i="1"/>
  <c r="P721" i="1" s="1"/>
  <c r="M731" i="1"/>
  <c r="P731" i="1" s="1"/>
  <c r="K778" i="1"/>
  <c r="K781" i="1"/>
  <c r="R378" i="1"/>
  <c r="U378" i="1" s="1"/>
  <c r="J375" i="1"/>
  <c r="N396" i="1"/>
  <c r="L416" i="1"/>
  <c r="O416" i="1" s="1"/>
  <c r="S416" i="1"/>
  <c r="J434" i="1"/>
  <c r="J486" i="1"/>
  <c r="L516" i="1"/>
  <c r="O516" i="1" s="1"/>
  <c r="O539" i="1"/>
  <c r="O542" i="1"/>
  <c r="S606" i="1"/>
  <c r="R623" i="1"/>
  <c r="U623" i="1" s="1"/>
  <c r="S691" i="1"/>
  <c r="K345" i="1"/>
  <c r="L378" i="1"/>
  <c r="O378" i="1" s="1"/>
  <c r="N394" i="1"/>
  <c r="L395" i="1"/>
  <c r="O395" i="1" s="1"/>
  <c r="M417" i="1"/>
  <c r="P417" i="1" s="1"/>
  <c r="M420" i="1"/>
  <c r="P420" i="1" s="1"/>
  <c r="J461" i="1"/>
  <c r="J469" i="1"/>
  <c r="M496" i="1"/>
  <c r="P496" i="1" s="1"/>
  <c r="N497" i="1"/>
  <c r="N500" i="1"/>
  <c r="Q520" i="1"/>
  <c r="T520" i="1" s="1"/>
  <c r="Q559" i="1"/>
  <c r="T559" i="1" s="1"/>
  <c r="S559" i="1"/>
  <c r="N580" i="1"/>
  <c r="P607" i="1"/>
  <c r="M646" i="1"/>
  <c r="P646" i="1" s="1"/>
  <c r="J683" i="1"/>
  <c r="K683" i="1" s="1"/>
  <c r="U696" i="1"/>
  <c r="M697" i="1"/>
  <c r="P697" i="1" s="1"/>
  <c r="N721" i="1"/>
  <c r="K743" i="1"/>
  <c r="K747" i="1"/>
  <c r="K758" i="1"/>
  <c r="K779" i="1"/>
  <c r="K782" i="1"/>
  <c r="J426" i="1"/>
  <c r="O584" i="1"/>
  <c r="S579" i="1"/>
  <c r="Q603" i="1"/>
  <c r="T603" i="1" s="1"/>
  <c r="N603" i="1"/>
  <c r="M618" i="1"/>
  <c r="P618" i="1" s="1"/>
  <c r="R620" i="1"/>
  <c r="N646" i="1"/>
  <c r="S694" i="1"/>
  <c r="P733" i="1"/>
  <c r="R763" i="1"/>
  <c r="R766" i="1"/>
  <c r="U766" i="1" s="1"/>
  <c r="K347" i="1"/>
  <c r="K370" i="1"/>
  <c r="Q394" i="1"/>
  <c r="T394" i="1" s="1"/>
  <c r="R396" i="1"/>
  <c r="U396" i="1" s="1"/>
  <c r="L399" i="1"/>
  <c r="O399" i="1" s="1"/>
  <c r="O419" i="1"/>
  <c r="R517" i="1"/>
  <c r="U517" i="1" s="1"/>
  <c r="R538" i="1"/>
  <c r="U538" i="1" s="1"/>
  <c r="R541" i="1"/>
  <c r="U541" i="1" s="1"/>
  <c r="L579" i="1"/>
  <c r="O579" i="1" s="1"/>
  <c r="L580" i="1"/>
  <c r="O580" i="1" s="1"/>
  <c r="R580" i="1"/>
  <c r="U580" i="1" s="1"/>
  <c r="U624" i="1"/>
  <c r="K654" i="1"/>
  <c r="Q716" i="1"/>
  <c r="T716" i="1" s="1"/>
  <c r="Q717" i="1"/>
  <c r="T717" i="1" s="1"/>
  <c r="M718" i="1"/>
  <c r="P718" i="1" s="1"/>
  <c r="K780" i="1"/>
  <c r="O99" i="1"/>
  <c r="L98" i="1"/>
  <c r="S190" i="1"/>
  <c r="S188" i="1"/>
  <c r="T648" i="1"/>
  <c r="Q645" i="1"/>
  <c r="M694" i="1"/>
  <c r="P694" i="1" s="1"/>
  <c r="P696" i="1"/>
  <c r="M693" i="1"/>
  <c r="U698" i="1"/>
  <c r="R697" i="1"/>
  <c r="U697" i="1" s="1"/>
  <c r="R692" i="1"/>
  <c r="Q23" i="1"/>
  <c r="M24" i="1"/>
  <c r="S24" i="1"/>
  <c r="Q26" i="1"/>
  <c r="U53" i="1"/>
  <c r="Q62" i="1"/>
  <c r="Q75" i="1"/>
  <c r="N97" i="1"/>
  <c r="P99" i="1"/>
  <c r="M98" i="1"/>
  <c r="P100" i="1"/>
  <c r="T100" i="1"/>
  <c r="O102" i="1"/>
  <c r="L101" i="1"/>
  <c r="O101" i="1" s="1"/>
  <c r="R120" i="1"/>
  <c r="Q143" i="1"/>
  <c r="T143" i="1" s="1"/>
  <c r="Q146" i="1"/>
  <c r="T146" i="1" s="1"/>
  <c r="U162" i="1"/>
  <c r="R161" i="1"/>
  <c r="U161" i="1" s="1"/>
  <c r="N175" i="1"/>
  <c r="L190" i="1"/>
  <c r="O191" i="1"/>
  <c r="L188" i="1"/>
  <c r="O380" i="1"/>
  <c r="L379" i="1"/>
  <c r="O379" i="1" s="1"/>
  <c r="L377" i="1"/>
  <c r="U383" i="1"/>
  <c r="R382" i="1"/>
  <c r="U382" i="1" s="1"/>
  <c r="R377" i="1"/>
  <c r="U605" i="1"/>
  <c r="R602" i="1"/>
  <c r="U602" i="1" s="1"/>
  <c r="R121" i="1"/>
  <c r="L26" i="1"/>
  <c r="N27" i="1"/>
  <c r="T65" i="1"/>
  <c r="R75" i="1"/>
  <c r="U100" i="1"/>
  <c r="P102" i="1"/>
  <c r="M101" i="1"/>
  <c r="P101" i="1" s="1"/>
  <c r="L120" i="1"/>
  <c r="L124" i="1"/>
  <c r="O124" i="1" s="1"/>
  <c r="N160" i="1"/>
  <c r="O162" i="1"/>
  <c r="L161" i="1"/>
  <c r="L47" i="1"/>
  <c r="L63" i="1"/>
  <c r="L76" i="1"/>
  <c r="O165" i="1"/>
  <c r="L164" i="1"/>
  <c r="O164" i="1" s="1"/>
  <c r="L23" i="1"/>
  <c r="R26" i="1"/>
  <c r="T50" i="1"/>
  <c r="L62" i="1"/>
  <c r="R62" i="1"/>
  <c r="U62" i="1" s="1"/>
  <c r="L75" i="1"/>
  <c r="T78" i="1"/>
  <c r="R79" i="1"/>
  <c r="U79" i="1" s="1"/>
  <c r="S23" i="1"/>
  <c r="M26" i="1"/>
  <c r="S26" i="1"/>
  <c r="O50" i="1"/>
  <c r="U50" i="1"/>
  <c r="U65" i="1"/>
  <c r="R66" i="1"/>
  <c r="U66" i="1" s="1"/>
  <c r="O67" i="1"/>
  <c r="U67" i="1"/>
  <c r="U78" i="1"/>
  <c r="S79" i="1"/>
  <c r="P80" i="1"/>
  <c r="O100" i="1"/>
  <c r="K154" i="1"/>
  <c r="O163" i="1"/>
  <c r="T308" i="1"/>
  <c r="Q307" i="1"/>
  <c r="Q305" i="1"/>
  <c r="R48" i="1"/>
  <c r="U48" i="1" s="1"/>
  <c r="L61" i="1"/>
  <c r="N62" i="1"/>
  <c r="N75" i="1"/>
  <c r="P75" i="1" s="1"/>
  <c r="U99" i="1"/>
  <c r="R98" i="1"/>
  <c r="P144" i="1"/>
  <c r="M143" i="1"/>
  <c r="P147" i="1"/>
  <c r="M146" i="1"/>
  <c r="P146" i="1" s="1"/>
  <c r="K152" i="1"/>
  <c r="Q24" i="1"/>
  <c r="M74" i="1"/>
  <c r="L96" i="1"/>
  <c r="S98" i="1"/>
  <c r="U102" i="1"/>
  <c r="R101" i="1"/>
  <c r="U101" i="1" s="1"/>
  <c r="L159" i="1"/>
  <c r="U165" i="1"/>
  <c r="R164" i="1"/>
  <c r="U164" i="1" s="1"/>
  <c r="I173" i="1"/>
  <c r="K173" i="1" s="1"/>
  <c r="K184" i="1"/>
  <c r="R270" i="1"/>
  <c r="U272" i="1"/>
  <c r="R269" i="1"/>
  <c r="L143" i="1"/>
  <c r="R143" i="1"/>
  <c r="U143" i="1" s="1"/>
  <c r="L146" i="1"/>
  <c r="O146" i="1" s="1"/>
  <c r="R146" i="1"/>
  <c r="U146" i="1" s="1"/>
  <c r="Q161" i="1"/>
  <c r="T161" i="1" s="1"/>
  <c r="Q164" i="1"/>
  <c r="T164" i="1" s="1"/>
  <c r="M177" i="1"/>
  <c r="M180" i="1"/>
  <c r="P180" i="1" s="1"/>
  <c r="Q188" i="1"/>
  <c r="M189" i="1"/>
  <c r="S189" i="1"/>
  <c r="T191" i="1"/>
  <c r="P192" i="1"/>
  <c r="J203" i="1"/>
  <c r="K203" i="1" s="1"/>
  <c r="M273" i="1"/>
  <c r="P273" i="1" s="1"/>
  <c r="R273" i="1"/>
  <c r="U273" i="1" s="1"/>
  <c r="U275" i="1"/>
  <c r="T309" i="1"/>
  <c r="S310" i="1"/>
  <c r="L359" i="1"/>
  <c r="O383" i="1"/>
  <c r="L382" i="1"/>
  <c r="O382" i="1" s="1"/>
  <c r="K387" i="1"/>
  <c r="T123" i="1"/>
  <c r="T126" i="1"/>
  <c r="P163" i="1"/>
  <c r="P166" i="1"/>
  <c r="R188" i="1"/>
  <c r="N190" i="1"/>
  <c r="M193" i="1"/>
  <c r="P193" i="1" s="1"/>
  <c r="M269" i="1"/>
  <c r="L270" i="1"/>
  <c r="O270" i="1" s="1"/>
  <c r="O272" i="1"/>
  <c r="N284" i="1"/>
  <c r="M307" i="1"/>
  <c r="S307" i="1"/>
  <c r="N379" i="1"/>
  <c r="R417" i="1"/>
  <c r="U417" i="1" s="1"/>
  <c r="R415" i="1"/>
  <c r="U418" i="1"/>
  <c r="O495" i="1"/>
  <c r="R495" i="1"/>
  <c r="N517" i="1"/>
  <c r="N515" i="1"/>
  <c r="U585" i="1"/>
  <c r="R579" i="1"/>
  <c r="U579" i="1" s="1"/>
  <c r="K196" i="1"/>
  <c r="L273" i="1"/>
  <c r="O273" i="1" s="1"/>
  <c r="O275" i="1"/>
  <c r="P287" i="1"/>
  <c r="M286" i="1"/>
  <c r="I282" i="1"/>
  <c r="K282" i="1" s="1"/>
  <c r="K293" i="1"/>
  <c r="P325" i="1"/>
  <c r="M324" i="1"/>
  <c r="P328" i="1"/>
  <c r="M327" i="1"/>
  <c r="P327" i="1" s="1"/>
  <c r="L417" i="1"/>
  <c r="O417" i="1" s="1"/>
  <c r="L415" i="1"/>
  <c r="O418" i="1"/>
  <c r="S497" i="1"/>
  <c r="S495" i="1"/>
  <c r="U501" i="1"/>
  <c r="R500" i="1"/>
  <c r="U500" i="1" s="1"/>
  <c r="T271" i="1"/>
  <c r="Q270" i="1"/>
  <c r="L307" i="1"/>
  <c r="O309" i="1"/>
  <c r="M322" i="1"/>
  <c r="T274" i="1"/>
  <c r="Q273" i="1"/>
  <c r="T273" i="1" s="1"/>
  <c r="S284" i="1"/>
  <c r="P290" i="1"/>
  <c r="M289" i="1"/>
  <c r="P289" i="1" s="1"/>
  <c r="T311" i="1"/>
  <c r="Q310" i="1"/>
  <c r="T310" i="1" s="1"/>
  <c r="P338" i="1"/>
  <c r="M337" i="1"/>
  <c r="P341" i="1"/>
  <c r="M340" i="1"/>
  <c r="P340" i="1" s="1"/>
  <c r="R359" i="1"/>
  <c r="U359" i="1" s="1"/>
  <c r="U380" i="1"/>
  <c r="R379" i="1"/>
  <c r="U379" i="1" s="1"/>
  <c r="K389" i="1"/>
  <c r="Q395" i="1"/>
  <c r="T395" i="1" s="1"/>
  <c r="O607" i="1"/>
  <c r="L606" i="1"/>
  <c r="O606" i="1" s="1"/>
  <c r="L601" i="1"/>
  <c r="J222" i="1"/>
  <c r="K222" i="1" s="1"/>
  <c r="K372" i="1"/>
  <c r="J425" i="1"/>
  <c r="I457" i="1"/>
  <c r="K457" i="1" s="1"/>
  <c r="I485" i="1"/>
  <c r="K485" i="1" s="1"/>
  <c r="J476" i="1"/>
  <c r="O498" i="1"/>
  <c r="L497" i="1"/>
  <c r="O497" i="1" s="1"/>
  <c r="N558" i="1"/>
  <c r="Q620" i="1"/>
  <c r="T621" i="1"/>
  <c r="Q618" i="1"/>
  <c r="U309" i="1"/>
  <c r="P498" i="1"/>
  <c r="M497" i="1"/>
  <c r="P497" i="1" s="1"/>
  <c r="O501" i="1"/>
  <c r="L500" i="1"/>
  <c r="O500" i="1" s="1"/>
  <c r="Q538" i="1"/>
  <c r="T538" i="1" s="1"/>
  <c r="T540" i="1"/>
  <c r="Q541" i="1"/>
  <c r="T541" i="1" s="1"/>
  <c r="T543" i="1"/>
  <c r="Q580" i="1"/>
  <c r="T580" i="1" s="1"/>
  <c r="T582" i="1"/>
  <c r="K632" i="1"/>
  <c r="K631" i="1"/>
  <c r="K630" i="1"/>
  <c r="L649" i="1"/>
  <c r="O649" i="1" s="1"/>
  <c r="O651" i="1"/>
  <c r="K331" i="1"/>
  <c r="N496" i="1"/>
  <c r="P501" i="1"/>
  <c r="M500" i="1"/>
  <c r="P500" i="1" s="1"/>
  <c r="U560" i="1"/>
  <c r="R559" i="1"/>
  <c r="U559" i="1" s="1"/>
  <c r="U563" i="1"/>
  <c r="R562" i="1"/>
  <c r="U562" i="1" s="1"/>
  <c r="I616" i="1"/>
  <c r="M310" i="1"/>
  <c r="P310" i="1" s="1"/>
  <c r="I333" i="1"/>
  <c r="L360" i="1"/>
  <c r="R360" i="1"/>
  <c r="U360" i="1" s="1"/>
  <c r="L363" i="1"/>
  <c r="O363" i="1" s="1"/>
  <c r="R363" i="1"/>
  <c r="U363" i="1" s="1"/>
  <c r="K386" i="1"/>
  <c r="Q396" i="1"/>
  <c r="T396" i="1" s="1"/>
  <c r="Q399" i="1"/>
  <c r="T399" i="1" s="1"/>
  <c r="Q579" i="1"/>
  <c r="R583" i="1"/>
  <c r="U583" i="1" s="1"/>
  <c r="R603" i="1"/>
  <c r="U603" i="1" s="1"/>
  <c r="S619" i="1"/>
  <c r="U622" i="1"/>
  <c r="T622" i="1"/>
  <c r="P624" i="1"/>
  <c r="M623" i="1"/>
  <c r="P623" i="1" s="1"/>
  <c r="U498" i="1"/>
  <c r="R497" i="1"/>
  <c r="O560" i="1"/>
  <c r="L559" i="1"/>
  <c r="O559" i="1" s="1"/>
  <c r="O563" i="1"/>
  <c r="L562" i="1"/>
  <c r="O562" i="1" s="1"/>
  <c r="U607" i="1"/>
  <c r="R606" i="1"/>
  <c r="U606" i="1" s="1"/>
  <c r="P622" i="1"/>
  <c r="M619" i="1"/>
  <c r="P619" i="1" s="1"/>
  <c r="M620" i="1"/>
  <c r="P620" i="1" s="1"/>
  <c r="R646" i="1"/>
  <c r="U648" i="1"/>
  <c r="O698" i="1"/>
  <c r="L697" i="1"/>
  <c r="O697" i="1" s="1"/>
  <c r="T650" i="1"/>
  <c r="Q649" i="1"/>
  <c r="T649" i="1" s="1"/>
  <c r="N693" i="1"/>
  <c r="T695" i="1"/>
  <c r="Q694" i="1"/>
  <c r="M559" i="1"/>
  <c r="P559" i="1" s="1"/>
  <c r="M562" i="1"/>
  <c r="P562" i="1" s="1"/>
  <c r="M649" i="1"/>
  <c r="P649" i="1" s="1"/>
  <c r="K682" i="1"/>
  <c r="U695" i="1"/>
  <c r="R694" i="1"/>
  <c r="U719" i="1"/>
  <c r="R718" i="1"/>
  <c r="U718" i="1" s="1"/>
  <c r="L602" i="1"/>
  <c r="O602" i="1" s="1"/>
  <c r="R618" i="1"/>
  <c r="N620" i="1"/>
  <c r="U621" i="1"/>
  <c r="R645" i="1"/>
  <c r="R649" i="1"/>
  <c r="U649" i="1" s="1"/>
  <c r="U651" i="1"/>
  <c r="K679" i="1"/>
  <c r="O695" i="1"/>
  <c r="L694" i="1"/>
  <c r="O694" i="1" s="1"/>
  <c r="O719" i="1"/>
  <c r="L718" i="1"/>
  <c r="O718" i="1" s="1"/>
  <c r="Q601" i="1"/>
  <c r="T604" i="1"/>
  <c r="Q606" i="1"/>
  <c r="T606" i="1" s="1"/>
  <c r="L618" i="1"/>
  <c r="T647" i="1"/>
  <c r="Q646" i="1"/>
  <c r="L692" i="1"/>
  <c r="Q697" i="1"/>
  <c r="T697" i="1" s="1"/>
  <c r="Q718" i="1"/>
  <c r="T718" i="1" s="1"/>
  <c r="Q721" i="1"/>
  <c r="T721" i="1" s="1"/>
  <c r="Q732" i="1"/>
  <c r="Q735" i="1"/>
  <c r="T735" i="1" s="1"/>
  <c r="P699" i="1"/>
  <c r="L721" i="1"/>
  <c r="O721" i="1" s="1"/>
  <c r="R721" i="1"/>
  <c r="U721" i="1" s="1"/>
  <c r="L732" i="1"/>
  <c r="O732" i="1" s="1"/>
  <c r="R732" i="1"/>
  <c r="L735" i="1"/>
  <c r="O735" i="1" s="1"/>
  <c r="R735" i="1"/>
  <c r="U735" i="1" s="1"/>
  <c r="Q763" i="1"/>
  <c r="O765" i="1"/>
  <c r="U765" i="1"/>
  <c r="Q766" i="1"/>
  <c r="T766" i="1" s="1"/>
  <c r="O768" i="1"/>
  <c r="U768" i="1"/>
  <c r="K772" i="1"/>
  <c r="T73" i="18" l="1"/>
  <c r="T95" i="14"/>
  <c r="U95" i="14"/>
  <c r="U75" i="1"/>
  <c r="S73" i="1"/>
  <c r="N643" i="1"/>
  <c r="U75" i="14"/>
  <c r="O337" i="1"/>
  <c r="R95" i="2"/>
  <c r="U95" i="2" s="1"/>
  <c r="N691" i="1"/>
  <c r="T24" i="11"/>
  <c r="S334" i="1"/>
  <c r="P337" i="1"/>
  <c r="U73" i="10"/>
  <c r="P359" i="11"/>
  <c r="O357" i="11"/>
  <c r="T73" i="6"/>
  <c r="T118" i="7"/>
  <c r="S376" i="1"/>
  <c r="U731" i="1"/>
  <c r="T378" i="1"/>
  <c r="T24" i="5"/>
  <c r="T762" i="1"/>
  <c r="S729" i="1"/>
  <c r="T731" i="1"/>
  <c r="N321" i="1"/>
  <c r="O285" i="9"/>
  <c r="M95" i="1"/>
  <c r="Q376" i="12"/>
  <c r="T376" i="12" s="1"/>
  <c r="P285" i="9"/>
  <c r="P336" i="1"/>
  <c r="P323" i="4"/>
  <c r="N334" i="1"/>
  <c r="T729" i="10"/>
  <c r="T731" i="10"/>
  <c r="U643" i="2"/>
  <c r="U187" i="2"/>
  <c r="S556" i="1"/>
  <c r="O359" i="11"/>
  <c r="U645" i="3"/>
  <c r="N187" i="1"/>
  <c r="U496" i="6"/>
  <c r="S321" i="1"/>
  <c r="O286" i="9"/>
  <c r="R376" i="16"/>
  <c r="U376" i="16" s="1"/>
  <c r="U763" i="1"/>
  <c r="T763" i="1"/>
  <c r="S600" i="1"/>
  <c r="N715" i="1"/>
  <c r="P286" i="9"/>
  <c r="N600" i="1"/>
  <c r="O357" i="12"/>
  <c r="U732" i="1"/>
  <c r="T732" i="1"/>
  <c r="O285" i="1"/>
  <c r="N140" i="1"/>
  <c r="T760" i="2"/>
  <c r="U760" i="2"/>
  <c r="Q414" i="16"/>
  <c r="T414" i="16" s="1"/>
  <c r="T306" i="18"/>
  <c r="N283" i="1"/>
  <c r="P285" i="1"/>
  <c r="T142" i="18"/>
  <c r="Q643" i="7"/>
  <c r="T643" i="7" s="1"/>
  <c r="O176" i="16"/>
  <c r="Q643" i="3"/>
  <c r="T643" i="3" s="1"/>
  <c r="U620" i="16"/>
  <c r="T620" i="16"/>
  <c r="N577" i="1"/>
  <c r="P95" i="11"/>
  <c r="I71" i="13"/>
  <c r="K71" i="13" s="1"/>
  <c r="U762" i="11"/>
  <c r="L73" i="13"/>
  <c r="O73" i="13" s="1"/>
  <c r="U269" i="8"/>
  <c r="M158" i="12"/>
  <c r="P158" i="12" s="1"/>
  <c r="I413" i="17"/>
  <c r="K413" i="17" s="1"/>
  <c r="M95" i="17"/>
  <c r="P95" i="17" s="1"/>
  <c r="R376" i="12"/>
  <c r="U376" i="12" s="1"/>
  <c r="U496" i="16"/>
  <c r="R494" i="14"/>
  <c r="U494" i="14" s="1"/>
  <c r="O360" i="11"/>
  <c r="U645" i="10"/>
  <c r="P360" i="11"/>
  <c r="O177" i="18"/>
  <c r="U97" i="15"/>
  <c r="O306" i="18"/>
  <c r="U496" i="1"/>
  <c r="M357" i="11"/>
  <c r="P357" i="11" s="1"/>
  <c r="T97" i="15"/>
  <c r="R118" i="12"/>
  <c r="U118" i="12" s="1"/>
  <c r="U95" i="15"/>
  <c r="S494" i="1"/>
  <c r="T496" i="1"/>
  <c r="T118" i="11"/>
  <c r="O189" i="16"/>
  <c r="T120" i="11"/>
  <c r="O307" i="17"/>
  <c r="L73" i="17"/>
  <c r="O73" i="17" s="1"/>
  <c r="T267" i="15"/>
  <c r="U75" i="16"/>
  <c r="U496" i="17"/>
  <c r="R376" i="15"/>
  <c r="U376" i="15" s="1"/>
  <c r="K493" i="18"/>
  <c r="P359" i="18"/>
  <c r="O160" i="15"/>
  <c r="N174" i="16"/>
  <c r="O174" i="16" s="1"/>
  <c r="O176" i="18"/>
  <c r="T694" i="8"/>
  <c r="P307" i="1"/>
  <c r="L514" i="8"/>
  <c r="O514" i="8" s="1"/>
  <c r="O160" i="16"/>
  <c r="O360" i="9"/>
  <c r="U304" i="12"/>
  <c r="U97" i="16"/>
  <c r="R174" i="17"/>
  <c r="U174" i="17" s="1"/>
  <c r="P97" i="10"/>
  <c r="U760" i="17"/>
  <c r="O24" i="15"/>
  <c r="U645" i="16"/>
  <c r="I71" i="18"/>
  <c r="K71" i="18" s="1"/>
  <c r="T120" i="18"/>
  <c r="K375" i="15"/>
  <c r="U619" i="15"/>
  <c r="L267" i="18"/>
  <c r="O267" i="18" s="1"/>
  <c r="P306" i="18"/>
  <c r="T731" i="18"/>
  <c r="T97" i="13"/>
  <c r="R140" i="16"/>
  <c r="U140" i="16" s="1"/>
  <c r="P306" i="15"/>
  <c r="U267" i="15"/>
  <c r="T190" i="17"/>
  <c r="P304" i="18"/>
  <c r="O233" i="1"/>
  <c r="U97" i="13"/>
  <c r="T269" i="15"/>
  <c r="O75" i="15"/>
  <c r="R187" i="17"/>
  <c r="U187" i="17" s="1"/>
  <c r="P323" i="18"/>
  <c r="U762" i="18"/>
  <c r="P174" i="18"/>
  <c r="L334" i="1"/>
  <c r="T95" i="13"/>
  <c r="O337" i="16"/>
  <c r="O158" i="16"/>
  <c r="U691" i="14"/>
  <c r="M321" i="18"/>
  <c r="P321" i="18" s="1"/>
  <c r="Q95" i="18"/>
  <c r="T95" i="18" s="1"/>
  <c r="Q158" i="18"/>
  <c r="T158" i="18" s="1"/>
  <c r="U731" i="18"/>
  <c r="I72" i="18"/>
  <c r="K72" i="18" s="1"/>
  <c r="M158" i="14"/>
  <c r="P158" i="14" s="1"/>
  <c r="U306" i="15"/>
  <c r="Q617" i="16"/>
  <c r="T617" i="16" s="1"/>
  <c r="K84" i="16"/>
  <c r="T619" i="17"/>
  <c r="T378" i="17"/>
  <c r="P269" i="17"/>
  <c r="L514" i="18"/>
  <c r="O514" i="18" s="1"/>
  <c r="O324" i="18"/>
  <c r="U645" i="2"/>
  <c r="O336" i="17"/>
  <c r="T189" i="18"/>
  <c r="L321" i="13"/>
  <c r="O321" i="13" s="1"/>
  <c r="O47" i="15"/>
  <c r="T306" i="15"/>
  <c r="U304" i="15"/>
  <c r="M95" i="18"/>
  <c r="P95" i="18" s="1"/>
  <c r="P177" i="14"/>
  <c r="O269" i="15"/>
  <c r="T760" i="17"/>
  <c r="P334" i="17"/>
  <c r="P359" i="16"/>
  <c r="P360" i="17"/>
  <c r="K702" i="18"/>
  <c r="U24" i="18"/>
  <c r="R22" i="18"/>
  <c r="U189" i="18"/>
  <c r="Q140" i="11"/>
  <c r="T140" i="11" s="1"/>
  <c r="T307" i="16"/>
  <c r="R174" i="16"/>
  <c r="U174" i="16" s="1"/>
  <c r="Q140" i="17"/>
  <c r="T140" i="17" s="1"/>
  <c r="R174" i="18"/>
  <c r="U174" i="18" s="1"/>
  <c r="P160" i="18"/>
  <c r="R643" i="16"/>
  <c r="U643" i="16" s="1"/>
  <c r="U307" i="16"/>
  <c r="T693" i="17"/>
  <c r="P24" i="18"/>
  <c r="P267" i="14"/>
  <c r="U307" i="14"/>
  <c r="P176" i="13"/>
  <c r="T619" i="15"/>
  <c r="T267" i="16"/>
  <c r="O269" i="16"/>
  <c r="P62" i="16"/>
  <c r="P63" i="17"/>
  <c r="O63" i="17"/>
  <c r="T269" i="18"/>
  <c r="L304" i="18"/>
  <c r="O304" i="18" s="1"/>
  <c r="Q174" i="18"/>
  <c r="T174" i="18" s="1"/>
  <c r="K702" i="14"/>
  <c r="T269" i="16"/>
  <c r="L118" i="17"/>
  <c r="O118" i="17" s="1"/>
  <c r="O285" i="14"/>
  <c r="O62" i="16"/>
  <c r="L304" i="16"/>
  <c r="O304" i="16" s="1"/>
  <c r="R267" i="17"/>
  <c r="U267" i="17" s="1"/>
  <c r="Q174" i="17"/>
  <c r="T174" i="17" s="1"/>
  <c r="O359" i="18"/>
  <c r="P97" i="11"/>
  <c r="P267" i="15"/>
  <c r="M118" i="16"/>
  <c r="P118" i="16" s="1"/>
  <c r="O60" i="16"/>
  <c r="U619" i="17"/>
  <c r="T270" i="17"/>
  <c r="R414" i="18"/>
  <c r="U414" i="18" s="1"/>
  <c r="T76" i="18"/>
  <c r="P176" i="18"/>
  <c r="P160" i="16"/>
  <c r="N414" i="1"/>
  <c r="L118" i="15"/>
  <c r="O118" i="15" s="1"/>
  <c r="N357" i="18"/>
  <c r="P357" i="18" s="1"/>
  <c r="O307" i="1"/>
  <c r="P285" i="14"/>
  <c r="P142" i="14"/>
  <c r="O62" i="15"/>
  <c r="I413" i="16"/>
  <c r="K413" i="16" s="1"/>
  <c r="M514" i="17"/>
  <c r="P514" i="17" s="1"/>
  <c r="L233" i="17"/>
  <c r="P176" i="17"/>
  <c r="P158" i="18"/>
  <c r="S267" i="1"/>
  <c r="R643" i="12"/>
  <c r="U643" i="12" s="1"/>
  <c r="U306" i="12"/>
  <c r="N187" i="16"/>
  <c r="O187" i="16" s="1"/>
  <c r="P47" i="18"/>
  <c r="R140" i="18"/>
  <c r="U140" i="18" s="1"/>
  <c r="R376" i="7"/>
  <c r="U376" i="7" s="1"/>
  <c r="P359" i="13"/>
  <c r="L140" i="16"/>
  <c r="O140" i="16" s="1"/>
  <c r="T646" i="16"/>
  <c r="N174" i="17"/>
  <c r="P174" i="17" s="1"/>
  <c r="U617" i="17"/>
  <c r="U307" i="18"/>
  <c r="Q118" i="18"/>
  <c r="T118" i="18" s="1"/>
  <c r="N21" i="18"/>
  <c r="N19" i="18" s="1"/>
  <c r="Q187" i="18"/>
  <c r="T187" i="18" s="1"/>
  <c r="U160" i="18"/>
  <c r="R158" i="18"/>
  <c r="U158" i="18" s="1"/>
  <c r="T120" i="14"/>
  <c r="T620" i="18"/>
  <c r="T118" i="14"/>
  <c r="U73" i="16"/>
  <c r="P336" i="17"/>
  <c r="U620" i="18"/>
  <c r="Q174" i="14"/>
  <c r="T174" i="14" s="1"/>
  <c r="K83" i="14"/>
  <c r="P60" i="14"/>
  <c r="T694" i="16"/>
  <c r="K375" i="16"/>
  <c r="O359" i="16"/>
  <c r="M158" i="16"/>
  <c r="P158" i="16" s="1"/>
  <c r="Q414" i="17"/>
  <c r="T414" i="17" s="1"/>
  <c r="P285" i="17"/>
  <c r="O285" i="17"/>
  <c r="P60" i="18"/>
  <c r="O161" i="18"/>
  <c r="K375" i="18"/>
  <c r="N158" i="1"/>
  <c r="R140" i="8"/>
  <c r="U140" i="8" s="1"/>
  <c r="U267" i="12"/>
  <c r="T187" i="16"/>
  <c r="U646" i="16"/>
  <c r="L158" i="17"/>
  <c r="O158" i="17" s="1"/>
  <c r="R187" i="18"/>
  <c r="U187" i="18" s="1"/>
  <c r="O22" i="18"/>
  <c r="U496" i="18"/>
  <c r="P75" i="18"/>
  <c r="L21" i="18"/>
  <c r="L19" i="18" s="1"/>
  <c r="U694" i="16"/>
  <c r="P189" i="11"/>
  <c r="P176" i="11"/>
  <c r="O360" i="15"/>
  <c r="U269" i="15"/>
  <c r="T190" i="16"/>
  <c r="U763" i="16"/>
  <c r="U121" i="17"/>
  <c r="T617" i="18"/>
  <c r="O286" i="18"/>
  <c r="U762" i="15"/>
  <c r="T732" i="17"/>
  <c r="P304" i="17"/>
  <c r="R118" i="17"/>
  <c r="U118" i="17" s="1"/>
  <c r="S304" i="17"/>
  <c r="U304" i="17" s="1"/>
  <c r="O97" i="18"/>
  <c r="L95" i="18"/>
  <c r="O95" i="18" s="1"/>
  <c r="K375" i="6"/>
  <c r="P140" i="17"/>
  <c r="R494" i="18"/>
  <c r="U494" i="18" s="1"/>
  <c r="P334" i="18"/>
  <c r="P62" i="18"/>
  <c r="U762" i="5"/>
  <c r="K702" i="9"/>
  <c r="T189" i="13"/>
  <c r="K375" i="17"/>
  <c r="O174" i="11"/>
  <c r="O120" i="16"/>
  <c r="P306" i="17"/>
  <c r="R729" i="18"/>
  <c r="U729" i="18" s="1"/>
  <c r="P336" i="18"/>
  <c r="M45" i="18"/>
  <c r="P45" i="18" s="1"/>
  <c r="O174" i="18"/>
  <c r="P22" i="18"/>
  <c r="K243" i="18"/>
  <c r="I232" i="18"/>
  <c r="P73" i="18"/>
  <c r="P269" i="18"/>
  <c r="M267" i="18"/>
  <c r="P267" i="18" s="1"/>
  <c r="P142" i="18"/>
  <c r="N140" i="18"/>
  <c r="O140" i="18" s="1"/>
  <c r="T24" i="18"/>
  <c r="Q21" i="18"/>
  <c r="Q22" i="18"/>
  <c r="P267" i="16"/>
  <c r="K702" i="17"/>
  <c r="K333" i="18"/>
  <c r="Q414" i="18"/>
  <c r="T414" i="18" s="1"/>
  <c r="T416" i="18"/>
  <c r="O27" i="18"/>
  <c r="L25" i="18"/>
  <c r="O25" i="18" s="1"/>
  <c r="O24" i="18"/>
  <c r="M118" i="18"/>
  <c r="P118" i="18" s="1"/>
  <c r="U269" i="18"/>
  <c r="S267" i="18"/>
  <c r="U267" i="18" s="1"/>
  <c r="O142" i="18"/>
  <c r="T693" i="18"/>
  <c r="O187" i="18"/>
  <c r="P187" i="18"/>
  <c r="U729" i="16"/>
  <c r="M95" i="16"/>
  <c r="P95" i="16" s="1"/>
  <c r="U118" i="16"/>
  <c r="S21" i="18"/>
  <c r="S22" i="18"/>
  <c r="U76" i="18"/>
  <c r="Q760" i="18"/>
  <c r="T760" i="18" s="1"/>
  <c r="T762" i="18"/>
  <c r="U378" i="18"/>
  <c r="R376" i="18"/>
  <c r="U376" i="18" s="1"/>
  <c r="O337" i="18"/>
  <c r="O283" i="18"/>
  <c r="N25" i="18"/>
  <c r="O187" i="17"/>
  <c r="Q643" i="18"/>
  <c r="T643" i="18" s="1"/>
  <c r="T645" i="18"/>
  <c r="L334" i="18"/>
  <c r="O334" i="18" s="1"/>
  <c r="O336" i="18"/>
  <c r="Q691" i="18"/>
  <c r="T691" i="18" s="1"/>
  <c r="O20" i="18"/>
  <c r="O244" i="18"/>
  <c r="L233" i="18"/>
  <c r="O189" i="18"/>
  <c r="P189" i="18"/>
  <c r="L118" i="18"/>
  <c r="O118" i="18" s="1"/>
  <c r="T120" i="15"/>
  <c r="U645" i="17"/>
  <c r="O357" i="17"/>
  <c r="U693" i="18"/>
  <c r="R691" i="18"/>
  <c r="U691" i="18" s="1"/>
  <c r="R760" i="18"/>
  <c r="U760" i="18" s="1"/>
  <c r="L60" i="18"/>
  <c r="O60" i="18" s="1"/>
  <c r="O62" i="18"/>
  <c r="O47" i="18"/>
  <c r="L45" i="18"/>
  <c r="O160" i="18"/>
  <c r="L158" i="18"/>
  <c r="O158" i="18" s="1"/>
  <c r="U120" i="18"/>
  <c r="R118" i="18"/>
  <c r="U118" i="18" s="1"/>
  <c r="M25" i="18"/>
  <c r="P25" i="18" s="1"/>
  <c r="T189" i="16"/>
  <c r="M283" i="17"/>
  <c r="P283" i="17" s="1"/>
  <c r="O189" i="17"/>
  <c r="O323" i="18"/>
  <c r="L321" i="18"/>
  <c r="O321" i="18" s="1"/>
  <c r="P516" i="18"/>
  <c r="M514" i="18"/>
  <c r="P514" i="18" s="1"/>
  <c r="Q376" i="18"/>
  <c r="T376" i="18" s="1"/>
  <c r="T378" i="18"/>
  <c r="P285" i="18"/>
  <c r="M283" i="18"/>
  <c r="P283" i="18" s="1"/>
  <c r="T496" i="18"/>
  <c r="Q494" i="18"/>
  <c r="T494" i="18" s="1"/>
  <c r="Q267" i="18"/>
  <c r="U619" i="18"/>
  <c r="R617" i="18"/>
  <c r="U617" i="18" s="1"/>
  <c r="M21" i="18"/>
  <c r="Q729" i="18"/>
  <c r="T729" i="18" s="1"/>
  <c r="R643" i="18"/>
  <c r="U643" i="18" s="1"/>
  <c r="U645" i="18"/>
  <c r="O285" i="18"/>
  <c r="O75" i="18"/>
  <c r="L73" i="18"/>
  <c r="O73" i="18" s="1"/>
  <c r="U75" i="18"/>
  <c r="R73" i="18"/>
  <c r="U73" i="18" s="1"/>
  <c r="T304" i="11"/>
  <c r="K702" i="13"/>
  <c r="M304" i="14"/>
  <c r="P304" i="14" s="1"/>
  <c r="R304" i="14"/>
  <c r="U304" i="14" s="1"/>
  <c r="T306" i="14"/>
  <c r="K84" i="14"/>
  <c r="L21" i="15"/>
  <c r="L19" i="15" s="1"/>
  <c r="K84" i="15"/>
  <c r="U120" i="16"/>
  <c r="P63" i="16"/>
  <c r="T617" i="17"/>
  <c r="O359" i="17"/>
  <c r="L95" i="17"/>
  <c r="O95" i="17" s="1"/>
  <c r="T306" i="11"/>
  <c r="T270" i="11"/>
  <c r="P73" i="14"/>
  <c r="T731" i="15"/>
  <c r="P357" i="15"/>
  <c r="I71" i="16"/>
  <c r="K71" i="16" s="1"/>
  <c r="U693" i="16"/>
  <c r="O177" i="16"/>
  <c r="P187" i="17"/>
  <c r="T73" i="14"/>
  <c r="U75" i="15"/>
  <c r="M514" i="15"/>
  <c r="P514" i="15" s="1"/>
  <c r="P359" i="15"/>
  <c r="T120" i="16"/>
  <c r="Q174" i="16"/>
  <c r="T174" i="16" s="1"/>
  <c r="T729" i="17"/>
  <c r="U693" i="17"/>
  <c r="L25" i="17"/>
  <c r="O25" i="17" s="1"/>
  <c r="L321" i="17"/>
  <c r="O321" i="17" s="1"/>
  <c r="T24" i="14"/>
  <c r="K702" i="16"/>
  <c r="T379" i="16"/>
  <c r="P177" i="16"/>
  <c r="Q158" i="16"/>
  <c r="T158" i="16" s="1"/>
  <c r="T379" i="17"/>
  <c r="O337" i="17"/>
  <c r="Q267" i="17"/>
  <c r="T267" i="17" s="1"/>
  <c r="R73" i="17"/>
  <c r="U73" i="17" s="1"/>
  <c r="P189" i="17"/>
  <c r="S691" i="17"/>
  <c r="T691" i="17" s="1"/>
  <c r="O337" i="9"/>
  <c r="Q21" i="14"/>
  <c r="Q19" i="14" s="1"/>
  <c r="U763" i="14"/>
  <c r="T617" i="15"/>
  <c r="Q304" i="17"/>
  <c r="T306" i="17"/>
  <c r="P120" i="17"/>
  <c r="M118" i="17"/>
  <c r="P118" i="17" s="1"/>
  <c r="S22" i="17"/>
  <c r="Q187" i="17"/>
  <c r="T187" i="17" s="1"/>
  <c r="U22" i="10"/>
  <c r="R95" i="12"/>
  <c r="U95" i="12" s="1"/>
  <c r="P189" i="13"/>
  <c r="S267" i="14"/>
  <c r="U267" i="14" s="1"/>
  <c r="T118" i="15"/>
  <c r="I71" i="17"/>
  <c r="K71" i="17" s="1"/>
  <c r="K333" i="17"/>
  <c r="P160" i="17"/>
  <c r="M158" i="17"/>
  <c r="P158" i="17" s="1"/>
  <c r="S21" i="10"/>
  <c r="S19" i="10" s="1"/>
  <c r="U304" i="11"/>
  <c r="R21" i="13"/>
  <c r="U21" i="13" s="1"/>
  <c r="R140" i="13"/>
  <c r="U140" i="13" s="1"/>
  <c r="O97" i="14"/>
  <c r="M95" i="13"/>
  <c r="P95" i="13" s="1"/>
  <c r="P160" i="13"/>
  <c r="T496" i="14"/>
  <c r="P176" i="15"/>
  <c r="O334" i="16"/>
  <c r="M25" i="16"/>
  <c r="P25" i="16" s="1"/>
  <c r="T762" i="17"/>
  <c r="L267" i="17"/>
  <c r="O267" i="17" s="1"/>
  <c r="U694" i="17"/>
  <c r="P142" i="17"/>
  <c r="U762" i="17"/>
  <c r="P160" i="11"/>
  <c r="T121" i="16"/>
  <c r="U732" i="17"/>
  <c r="U729" i="17"/>
  <c r="Q376" i="17"/>
  <c r="T376" i="17" s="1"/>
  <c r="K84" i="17"/>
  <c r="I72" i="17"/>
  <c r="K72" i="17" s="1"/>
  <c r="P27" i="17"/>
  <c r="M25" i="17"/>
  <c r="P25" i="17" s="1"/>
  <c r="O62" i="17"/>
  <c r="L60" i="17"/>
  <c r="O60" i="17" s="1"/>
  <c r="O97" i="16"/>
  <c r="S643" i="17"/>
  <c r="T643" i="17" s="1"/>
  <c r="T645" i="17"/>
  <c r="M357" i="17"/>
  <c r="P357" i="17" s="1"/>
  <c r="P359" i="17"/>
  <c r="T731" i="17"/>
  <c r="R376" i="17"/>
  <c r="U376" i="17" s="1"/>
  <c r="N21" i="17"/>
  <c r="N19" i="17" s="1"/>
  <c r="N22" i="17"/>
  <c r="T97" i="17"/>
  <c r="Q95" i="17"/>
  <c r="T95" i="17" s="1"/>
  <c r="L334" i="17"/>
  <c r="O334" i="17" s="1"/>
  <c r="O283" i="17"/>
  <c r="T120" i="17"/>
  <c r="Q118" i="17"/>
  <c r="T118" i="17" s="1"/>
  <c r="R140" i="17"/>
  <c r="U140" i="17" s="1"/>
  <c r="U142" i="17"/>
  <c r="O24" i="17"/>
  <c r="L21" i="17"/>
  <c r="P62" i="17"/>
  <c r="M60" i="17"/>
  <c r="P60" i="17" s="1"/>
  <c r="O516" i="17"/>
  <c r="L514" i="17"/>
  <c r="O514" i="17" s="1"/>
  <c r="U731" i="17"/>
  <c r="M321" i="17"/>
  <c r="P321" i="17" s="1"/>
  <c r="P323" i="17"/>
  <c r="O176" i="17"/>
  <c r="L174" i="17"/>
  <c r="P24" i="17"/>
  <c r="M21" i="17"/>
  <c r="M22" i="17"/>
  <c r="Q73" i="16"/>
  <c r="T73" i="16" s="1"/>
  <c r="T75" i="16"/>
  <c r="L22" i="17"/>
  <c r="O189" i="14"/>
  <c r="L21" i="16"/>
  <c r="L19" i="16" s="1"/>
  <c r="L304" i="17"/>
  <c r="O304" i="17" s="1"/>
  <c r="O306" i="17"/>
  <c r="P75" i="17"/>
  <c r="M73" i="17"/>
  <c r="P73" i="17" s="1"/>
  <c r="U24" i="17"/>
  <c r="R21" i="17"/>
  <c r="Q22" i="17"/>
  <c r="T24" i="17"/>
  <c r="Q21" i="17"/>
  <c r="O142" i="17"/>
  <c r="L140" i="17"/>
  <c r="O140" i="17" s="1"/>
  <c r="P47" i="17"/>
  <c r="M45" i="17"/>
  <c r="R158" i="16"/>
  <c r="U158" i="16" s="1"/>
  <c r="K254" i="17"/>
  <c r="I232" i="17"/>
  <c r="Q73" i="17"/>
  <c r="T73" i="17" s="1"/>
  <c r="O47" i="17"/>
  <c r="L45" i="17"/>
  <c r="M267" i="17"/>
  <c r="P267" i="17" s="1"/>
  <c r="R22" i="17"/>
  <c r="R158" i="17"/>
  <c r="U158" i="17" s="1"/>
  <c r="O285" i="13"/>
  <c r="R95" i="13"/>
  <c r="U95" i="13" s="1"/>
  <c r="T379" i="14"/>
  <c r="T75" i="15"/>
  <c r="N21" i="16"/>
  <c r="N19" i="16" s="1"/>
  <c r="T763" i="16"/>
  <c r="M283" i="14"/>
  <c r="P283" i="14" s="1"/>
  <c r="O142" i="14"/>
  <c r="O285" i="15"/>
  <c r="O187" i="14"/>
  <c r="R304" i="16"/>
  <c r="U304" i="16" s="1"/>
  <c r="L25" i="16"/>
  <c r="O25" i="16" s="1"/>
  <c r="P269" i="9"/>
  <c r="T379" i="12"/>
  <c r="Q643" i="14"/>
  <c r="T643" i="14" s="1"/>
  <c r="L304" i="14"/>
  <c r="O304" i="14" s="1"/>
  <c r="L140" i="15"/>
  <c r="O140" i="15" s="1"/>
  <c r="T763" i="14"/>
  <c r="K702" i="15"/>
  <c r="P161" i="16"/>
  <c r="Q376" i="8"/>
  <c r="T376" i="8" s="1"/>
  <c r="U694" i="10"/>
  <c r="T189" i="12"/>
  <c r="O187" i="12"/>
  <c r="L95" i="12"/>
  <c r="O95" i="12" s="1"/>
  <c r="U76" i="12"/>
  <c r="T142" i="13"/>
  <c r="Q494" i="15"/>
  <c r="T494" i="15" s="1"/>
  <c r="T645" i="15"/>
  <c r="U691" i="16"/>
  <c r="O48" i="16"/>
  <c r="M357" i="16"/>
  <c r="P357" i="16" s="1"/>
  <c r="P323" i="15"/>
  <c r="M321" i="15"/>
  <c r="P321" i="15" s="1"/>
  <c r="P269" i="16"/>
  <c r="O75" i="16"/>
  <c r="S21" i="16"/>
  <c r="S19" i="16" s="1"/>
  <c r="S22" i="16"/>
  <c r="T22" i="16" s="1"/>
  <c r="K424" i="11"/>
  <c r="S187" i="12"/>
  <c r="U187" i="12" s="1"/>
  <c r="T121" i="14"/>
  <c r="L140" i="14"/>
  <c r="O140" i="14" s="1"/>
  <c r="M321" i="14"/>
  <c r="P321" i="14" s="1"/>
  <c r="P189" i="15"/>
  <c r="U189" i="15"/>
  <c r="U732" i="16"/>
  <c r="P47" i="16"/>
  <c r="P75" i="16"/>
  <c r="N73" i="16"/>
  <c r="P73" i="16" s="1"/>
  <c r="P176" i="16"/>
  <c r="T645" i="16"/>
  <c r="Q643" i="16"/>
  <c r="T643" i="16" s="1"/>
  <c r="O204" i="1"/>
  <c r="T731" i="7"/>
  <c r="O306" i="15"/>
  <c r="P187" i="15"/>
  <c r="O187" i="15"/>
  <c r="O189" i="15"/>
  <c r="M514" i="16"/>
  <c r="P514" i="16" s="1"/>
  <c r="M187" i="16"/>
  <c r="P189" i="16"/>
  <c r="O24" i="16"/>
  <c r="L22" i="16"/>
  <c r="O22" i="16" s="1"/>
  <c r="T693" i="14"/>
  <c r="T691" i="14"/>
  <c r="U693" i="14"/>
  <c r="U306" i="13"/>
  <c r="L118" i="13"/>
  <c r="O118" i="13" s="1"/>
  <c r="U190" i="14"/>
  <c r="K333" i="16"/>
  <c r="T729" i="16"/>
  <c r="L357" i="16"/>
  <c r="O357" i="16" s="1"/>
  <c r="O283" i="16"/>
  <c r="P306" i="16"/>
  <c r="M304" i="16"/>
  <c r="P304" i="16" s="1"/>
  <c r="P22" i="16"/>
  <c r="U189" i="16"/>
  <c r="R187" i="16"/>
  <c r="U187" i="16" s="1"/>
  <c r="Q118" i="16"/>
  <c r="T118" i="16" s="1"/>
  <c r="M21" i="16"/>
  <c r="P24" i="16"/>
  <c r="M60" i="16"/>
  <c r="P60" i="16" s="1"/>
  <c r="P47" i="9"/>
  <c r="L514" i="16"/>
  <c r="O514" i="16" s="1"/>
  <c r="O516" i="16"/>
  <c r="R21" i="16"/>
  <c r="U24" i="16"/>
  <c r="T20" i="16"/>
  <c r="M45" i="16"/>
  <c r="O45" i="16"/>
  <c r="Q73" i="15"/>
  <c r="T73" i="15" s="1"/>
  <c r="K243" i="16"/>
  <c r="I232" i="16"/>
  <c r="L321" i="16"/>
  <c r="O321" i="16" s="1"/>
  <c r="O323" i="16"/>
  <c r="P285" i="16"/>
  <c r="M283" i="16"/>
  <c r="P283" i="16" s="1"/>
  <c r="Q21" i="16"/>
  <c r="T24" i="16"/>
  <c r="M140" i="16"/>
  <c r="P140" i="16" s="1"/>
  <c r="P142" i="16"/>
  <c r="O285" i="16"/>
  <c r="L233" i="16"/>
  <c r="R22" i="16"/>
  <c r="T376" i="14"/>
  <c r="P285" i="15"/>
  <c r="Q304" i="15"/>
  <c r="T304" i="15" s="1"/>
  <c r="U731" i="15"/>
  <c r="T378" i="16"/>
  <c r="Q376" i="16"/>
  <c r="T376" i="16" s="1"/>
  <c r="O47" i="16"/>
  <c r="M321" i="16"/>
  <c r="P321" i="16" s="1"/>
  <c r="P98" i="15"/>
  <c r="K375" i="14"/>
  <c r="Q691" i="16"/>
  <c r="T691" i="16" s="1"/>
  <c r="T693" i="16"/>
  <c r="P336" i="16"/>
  <c r="M334" i="16"/>
  <c r="P334" i="16" s="1"/>
  <c r="U731" i="16"/>
  <c r="T731" i="16"/>
  <c r="Q304" i="16"/>
  <c r="T304" i="16" s="1"/>
  <c r="O336" i="16"/>
  <c r="T97" i="16"/>
  <c r="Q95" i="16"/>
  <c r="T95" i="16" s="1"/>
  <c r="P20" i="16"/>
  <c r="T142" i="16"/>
  <c r="Q140" i="16"/>
  <c r="T140" i="16" s="1"/>
  <c r="U269" i="16"/>
  <c r="R267" i="16"/>
  <c r="U267" i="16" s="1"/>
  <c r="O47" i="9"/>
  <c r="T378" i="14"/>
  <c r="R140" i="14"/>
  <c r="U140" i="14" s="1"/>
  <c r="O336" i="15"/>
  <c r="N45" i="9"/>
  <c r="P45" i="9" s="1"/>
  <c r="U306" i="10"/>
  <c r="R760" i="10"/>
  <c r="U760" i="10" s="1"/>
  <c r="T269" i="9"/>
  <c r="P174" i="12"/>
  <c r="O334" i="15"/>
  <c r="P334" i="15"/>
  <c r="T189" i="15"/>
  <c r="O176" i="15"/>
  <c r="O76" i="10"/>
  <c r="O120" i="14"/>
  <c r="O176" i="12"/>
  <c r="O76" i="14"/>
  <c r="T693" i="15"/>
  <c r="Q414" i="15"/>
  <c r="T414" i="15" s="1"/>
  <c r="S187" i="15"/>
  <c r="T187" i="15" s="1"/>
  <c r="P336" i="15"/>
  <c r="U267" i="11"/>
  <c r="O323" i="15"/>
  <c r="Q95" i="15"/>
  <c r="T95" i="15" s="1"/>
  <c r="O48" i="15"/>
  <c r="U620" i="15"/>
  <c r="P283" i="15"/>
  <c r="K83" i="15"/>
  <c r="I71" i="15"/>
  <c r="K71" i="15" s="1"/>
  <c r="T762" i="13"/>
  <c r="P334" i="14"/>
  <c r="O336" i="14"/>
  <c r="M25" i="15"/>
  <c r="P25" i="15" s="1"/>
  <c r="L233" i="15"/>
  <c r="P286" i="1"/>
  <c r="U762" i="13"/>
  <c r="T732" i="14"/>
  <c r="T694" i="14"/>
  <c r="R729" i="15"/>
  <c r="U729" i="15" s="1"/>
  <c r="I413" i="15"/>
  <c r="K413" i="15" s="1"/>
  <c r="S22" i="15"/>
  <c r="P269" i="15"/>
  <c r="O283" i="15"/>
  <c r="L514" i="15"/>
  <c r="O514" i="15" s="1"/>
  <c r="O516" i="15"/>
  <c r="P120" i="15"/>
  <c r="M118" i="15"/>
  <c r="P118" i="15" s="1"/>
  <c r="O286" i="1"/>
  <c r="L95" i="8"/>
  <c r="O95" i="8" s="1"/>
  <c r="U75" i="12"/>
  <c r="P142" i="12"/>
  <c r="R494" i="13"/>
  <c r="U494" i="13" s="1"/>
  <c r="I232" i="13"/>
  <c r="I186" i="13" s="1"/>
  <c r="K186" i="13" s="1"/>
  <c r="U617" i="14"/>
  <c r="T190" i="15"/>
  <c r="U496" i="15"/>
  <c r="R494" i="15"/>
  <c r="U494" i="15" s="1"/>
  <c r="U190" i="8"/>
  <c r="L73" i="9"/>
  <c r="O73" i="9" s="1"/>
  <c r="U693" i="9"/>
  <c r="S187" i="13"/>
  <c r="T187" i="13" s="1"/>
  <c r="P336" i="14"/>
  <c r="O63" i="15"/>
  <c r="N174" i="15"/>
  <c r="O174" i="15" s="1"/>
  <c r="O62" i="9"/>
  <c r="U73" i="14"/>
  <c r="O73" i="14"/>
  <c r="Q729" i="15"/>
  <c r="T729" i="15" s="1"/>
  <c r="Q376" i="15"/>
  <c r="T376" i="15" s="1"/>
  <c r="T378" i="15"/>
  <c r="R21" i="15"/>
  <c r="R22" i="15"/>
  <c r="U24" i="15"/>
  <c r="O161" i="15"/>
  <c r="N22" i="15"/>
  <c r="O22" i="15" s="1"/>
  <c r="M140" i="15"/>
  <c r="P140" i="15" s="1"/>
  <c r="M174" i="13"/>
  <c r="P174" i="13" s="1"/>
  <c r="O75" i="14"/>
  <c r="R691" i="15"/>
  <c r="U691" i="15" s="1"/>
  <c r="U693" i="15"/>
  <c r="R760" i="15"/>
  <c r="U760" i="15" s="1"/>
  <c r="P97" i="15"/>
  <c r="M95" i="15"/>
  <c r="P95" i="15" s="1"/>
  <c r="O97" i="15"/>
  <c r="L95" i="15"/>
  <c r="O95" i="15" s="1"/>
  <c r="L73" i="15"/>
  <c r="O73" i="15" s="1"/>
  <c r="R73" i="15"/>
  <c r="U73" i="15" s="1"/>
  <c r="K627" i="15"/>
  <c r="J616" i="15"/>
  <c r="K616" i="15" s="1"/>
  <c r="S643" i="15"/>
  <c r="T643" i="15" s="1"/>
  <c r="M73" i="15"/>
  <c r="P73" i="15" s="1"/>
  <c r="P75" i="15"/>
  <c r="L45" i="15"/>
  <c r="P160" i="15"/>
  <c r="N158" i="15"/>
  <c r="P359" i="6"/>
  <c r="T763" i="11"/>
  <c r="N158" i="13"/>
  <c r="P158" i="13" s="1"/>
  <c r="T98" i="14"/>
  <c r="Q760" i="15"/>
  <c r="T760" i="15" s="1"/>
  <c r="T762" i="15"/>
  <c r="R617" i="15"/>
  <c r="U617" i="15" s="1"/>
  <c r="M60" i="15"/>
  <c r="P60" i="15" s="1"/>
  <c r="P62" i="15"/>
  <c r="Q21" i="15"/>
  <c r="T24" i="15"/>
  <c r="U142" i="15"/>
  <c r="R140" i="15"/>
  <c r="U140" i="15" s="1"/>
  <c r="Q22" i="15"/>
  <c r="L60" i="15"/>
  <c r="O60" i="15" s="1"/>
  <c r="P140" i="14"/>
  <c r="R643" i="15"/>
  <c r="U645" i="15"/>
  <c r="M45" i="15"/>
  <c r="P47" i="15"/>
  <c r="U120" i="15"/>
  <c r="R118" i="15"/>
  <c r="U118" i="15" s="1"/>
  <c r="N21" i="15"/>
  <c r="N19" i="15" s="1"/>
  <c r="P24" i="15"/>
  <c r="M21" i="15"/>
  <c r="K232" i="15"/>
  <c r="I186" i="15"/>
  <c r="K186" i="15" s="1"/>
  <c r="Q691" i="15"/>
  <c r="T691" i="15" s="1"/>
  <c r="L357" i="15"/>
  <c r="O357" i="15" s="1"/>
  <c r="O359" i="15"/>
  <c r="L25" i="15"/>
  <c r="O25" i="15" s="1"/>
  <c r="O27" i="15"/>
  <c r="U176" i="15"/>
  <c r="R174" i="15"/>
  <c r="U174" i="15" s="1"/>
  <c r="U176" i="14"/>
  <c r="R174" i="14"/>
  <c r="U174" i="14" s="1"/>
  <c r="T270" i="13"/>
  <c r="K424" i="14"/>
  <c r="I413" i="14"/>
  <c r="K413" i="14" s="1"/>
  <c r="U118" i="13"/>
  <c r="P187" i="14"/>
  <c r="L158" i="14"/>
  <c r="O158" i="14" s="1"/>
  <c r="O160" i="14"/>
  <c r="O60" i="11"/>
  <c r="L118" i="11"/>
  <c r="O118" i="11" s="1"/>
  <c r="T620" i="13"/>
  <c r="T732" i="13"/>
  <c r="O189" i="13"/>
  <c r="O27" i="13"/>
  <c r="T619" i="14"/>
  <c r="R376" i="14"/>
  <c r="U376" i="14" s="1"/>
  <c r="T75" i="14"/>
  <c r="T269" i="14"/>
  <c r="P75" i="14"/>
  <c r="T142" i="14"/>
  <c r="Q140" i="14"/>
  <c r="T140" i="14" s="1"/>
  <c r="R494" i="9"/>
  <c r="U494" i="9" s="1"/>
  <c r="L267" i="11"/>
  <c r="O267" i="11" s="1"/>
  <c r="M514" i="13"/>
  <c r="P514" i="13" s="1"/>
  <c r="I72" i="13"/>
  <c r="K72" i="13" s="1"/>
  <c r="Q158" i="14"/>
  <c r="T158" i="14" s="1"/>
  <c r="U619" i="14"/>
  <c r="P120" i="14"/>
  <c r="M118" i="14"/>
  <c r="P118" i="14" s="1"/>
  <c r="K83" i="9"/>
  <c r="Q174" i="12"/>
  <c r="T174" i="12" s="1"/>
  <c r="P336" i="13"/>
  <c r="O187" i="13"/>
  <c r="M73" i="13"/>
  <c r="P73" i="13" s="1"/>
  <c r="P189" i="14"/>
  <c r="M174" i="14"/>
  <c r="P174" i="14" s="1"/>
  <c r="P176" i="14"/>
  <c r="U118" i="14"/>
  <c r="L304" i="9"/>
  <c r="O304" i="9" s="1"/>
  <c r="P98" i="10"/>
  <c r="Q414" i="14"/>
  <c r="T414" i="14" s="1"/>
  <c r="R414" i="14"/>
  <c r="U414" i="14" s="1"/>
  <c r="U98" i="14"/>
  <c r="U120" i="14"/>
  <c r="L174" i="14"/>
  <c r="O174" i="14" s="1"/>
  <c r="O176" i="14"/>
  <c r="U306" i="1"/>
  <c r="T379" i="8"/>
  <c r="T646" i="8"/>
  <c r="T306" i="10"/>
  <c r="U75" i="10"/>
  <c r="U269" i="11"/>
  <c r="T269" i="12"/>
  <c r="P73" i="12"/>
  <c r="T121" i="12"/>
  <c r="R494" i="12"/>
  <c r="U494" i="12" s="1"/>
  <c r="P269" i="14"/>
  <c r="L321" i="14"/>
  <c r="O321" i="14" s="1"/>
  <c r="O323" i="14"/>
  <c r="N41" i="14"/>
  <c r="U24" i="14"/>
  <c r="R21" i="14"/>
  <c r="R22" i="14"/>
  <c r="P47" i="14"/>
  <c r="L357" i="14"/>
  <c r="O357" i="14" s="1"/>
  <c r="O359" i="14"/>
  <c r="L283" i="14"/>
  <c r="O283" i="14" s="1"/>
  <c r="T307" i="14"/>
  <c r="M95" i="14"/>
  <c r="P97" i="14"/>
  <c r="M25" i="14"/>
  <c r="P25" i="14" s="1"/>
  <c r="P27" i="14"/>
  <c r="O255" i="14"/>
  <c r="L233" i="14"/>
  <c r="S187" i="14"/>
  <c r="T187" i="14" s="1"/>
  <c r="T189" i="14"/>
  <c r="Q494" i="13"/>
  <c r="T494" i="13" s="1"/>
  <c r="L95" i="13"/>
  <c r="O95" i="13" s="1"/>
  <c r="P285" i="13"/>
  <c r="U731" i="14"/>
  <c r="R729" i="14"/>
  <c r="U729" i="14" s="1"/>
  <c r="Q617" i="14"/>
  <c r="T617" i="14" s="1"/>
  <c r="N21" i="14"/>
  <c r="N19" i="14" s="1"/>
  <c r="S21" i="14"/>
  <c r="S19" i="14" s="1"/>
  <c r="S22" i="14"/>
  <c r="T22" i="14" s="1"/>
  <c r="P62" i="14"/>
  <c r="O27" i="14"/>
  <c r="L25" i="14"/>
  <c r="O25" i="14" s="1"/>
  <c r="M357" i="14"/>
  <c r="P357" i="14" s="1"/>
  <c r="P359" i="14"/>
  <c r="O143" i="14"/>
  <c r="N22" i="14"/>
  <c r="O47" i="14"/>
  <c r="Q267" i="9"/>
  <c r="T267" i="9" s="1"/>
  <c r="P269" i="11"/>
  <c r="T763" i="12"/>
  <c r="M304" i="13"/>
  <c r="P304" i="13" s="1"/>
  <c r="Q174" i="13"/>
  <c r="T174" i="13" s="1"/>
  <c r="K333" i="13"/>
  <c r="L334" i="14"/>
  <c r="O334" i="14" s="1"/>
  <c r="L514" i="14"/>
  <c r="O514" i="14" s="1"/>
  <c r="O24" i="14"/>
  <c r="L21" i="14"/>
  <c r="L22" i="14"/>
  <c r="O45" i="14"/>
  <c r="O285" i="10"/>
  <c r="T187" i="11"/>
  <c r="P267" i="13"/>
  <c r="M321" i="13"/>
  <c r="P321" i="13" s="1"/>
  <c r="P286" i="14"/>
  <c r="P45" i="14"/>
  <c r="Q760" i="12"/>
  <c r="T760" i="12" s="1"/>
  <c r="L233" i="13"/>
  <c r="L140" i="13"/>
  <c r="O140" i="13" s="1"/>
  <c r="M514" i="14"/>
  <c r="P514" i="14" s="1"/>
  <c r="T304" i="14"/>
  <c r="L267" i="14"/>
  <c r="O267" i="14" s="1"/>
  <c r="L60" i="14"/>
  <c r="O60" i="14" s="1"/>
  <c r="O62" i="14"/>
  <c r="K243" i="14"/>
  <c r="I232" i="14"/>
  <c r="M21" i="14"/>
  <c r="P24" i="14"/>
  <c r="M22" i="14"/>
  <c r="Q158" i="11"/>
  <c r="T158" i="11" s="1"/>
  <c r="K83" i="11"/>
  <c r="P60" i="11"/>
  <c r="R643" i="13"/>
  <c r="U643" i="13" s="1"/>
  <c r="U693" i="13"/>
  <c r="T617" i="13"/>
  <c r="Q760" i="8"/>
  <c r="T760" i="8" s="1"/>
  <c r="T762" i="11"/>
  <c r="I232" i="12"/>
  <c r="I186" i="12" s="1"/>
  <c r="K186" i="12" s="1"/>
  <c r="K375" i="12"/>
  <c r="T763" i="13"/>
  <c r="U189" i="13"/>
  <c r="T694" i="13"/>
  <c r="Q158" i="13"/>
  <c r="T158" i="13" s="1"/>
  <c r="L304" i="13"/>
  <c r="O304" i="13" s="1"/>
  <c r="U731" i="11"/>
  <c r="O158" i="11"/>
  <c r="M321" i="11"/>
  <c r="P321" i="11" s="1"/>
  <c r="T269" i="11"/>
  <c r="R158" i="12"/>
  <c r="U158" i="12" s="1"/>
  <c r="M25" i="12"/>
  <c r="P25" i="12" s="1"/>
  <c r="K424" i="12"/>
  <c r="R376" i="13"/>
  <c r="U376" i="13" s="1"/>
  <c r="Q73" i="13"/>
  <c r="T73" i="13" s="1"/>
  <c r="M514" i="12"/>
  <c r="P514" i="12" s="1"/>
  <c r="L267" i="13"/>
  <c r="O267" i="13" s="1"/>
  <c r="T729" i="13"/>
  <c r="U729" i="13"/>
  <c r="T416" i="13"/>
  <c r="Q414" i="13"/>
  <c r="T414" i="13" s="1"/>
  <c r="U75" i="13"/>
  <c r="R73" i="13"/>
  <c r="U73" i="13" s="1"/>
  <c r="P160" i="9"/>
  <c r="M174" i="11"/>
  <c r="P174" i="11" s="1"/>
  <c r="T619" i="11"/>
  <c r="O47" i="12"/>
  <c r="S73" i="12"/>
  <c r="U73" i="12" s="1"/>
  <c r="P176" i="12"/>
  <c r="P306" i="12"/>
  <c r="Q760" i="13"/>
  <c r="T760" i="13" s="1"/>
  <c r="Q494" i="9"/>
  <c r="T494" i="9" s="1"/>
  <c r="T619" i="12"/>
  <c r="L174" i="12"/>
  <c r="O174" i="12" s="1"/>
  <c r="R691" i="13"/>
  <c r="U691" i="13" s="1"/>
  <c r="U731" i="13"/>
  <c r="T731" i="13"/>
  <c r="T619" i="13"/>
  <c r="T121" i="13"/>
  <c r="K375" i="10"/>
  <c r="K243" i="10"/>
  <c r="O336" i="13"/>
  <c r="L334" i="13"/>
  <c r="O334" i="13" s="1"/>
  <c r="P120" i="11"/>
  <c r="U307" i="12"/>
  <c r="L283" i="13"/>
  <c r="T693" i="9"/>
  <c r="P334" i="12"/>
  <c r="L514" i="13"/>
  <c r="O514" i="13" s="1"/>
  <c r="M334" i="13"/>
  <c r="P334" i="13" s="1"/>
  <c r="U270" i="13"/>
  <c r="U24" i="13"/>
  <c r="N283" i="13"/>
  <c r="P283" i="13" s="1"/>
  <c r="K333" i="8"/>
  <c r="K702" i="8"/>
  <c r="T189" i="8"/>
  <c r="Q760" i="11"/>
  <c r="T760" i="11" s="1"/>
  <c r="Q22" i="11"/>
  <c r="T22" i="11" s="1"/>
  <c r="L118" i="12"/>
  <c r="O118" i="12" s="1"/>
  <c r="P60" i="12"/>
  <c r="U763" i="12"/>
  <c r="T76" i="12"/>
  <c r="P336" i="12"/>
  <c r="Q691" i="13"/>
  <c r="T691" i="13" s="1"/>
  <c r="T693" i="13"/>
  <c r="K424" i="13"/>
  <c r="I413" i="13"/>
  <c r="K413" i="13" s="1"/>
  <c r="S304" i="13"/>
  <c r="T304" i="13" s="1"/>
  <c r="O160" i="13"/>
  <c r="L158" i="13"/>
  <c r="N357" i="13"/>
  <c r="P357" i="13" s="1"/>
  <c r="S267" i="13"/>
  <c r="T267" i="13" s="1"/>
  <c r="P27" i="13"/>
  <c r="M25" i="13"/>
  <c r="P25" i="13" s="1"/>
  <c r="S19" i="13"/>
  <c r="S22" i="13"/>
  <c r="U22" i="13" s="1"/>
  <c r="T120" i="13"/>
  <c r="Q118" i="13"/>
  <c r="T118" i="13" s="1"/>
  <c r="T189" i="11"/>
  <c r="U620" i="13"/>
  <c r="R760" i="13"/>
  <c r="U760" i="13" s="1"/>
  <c r="U416" i="13"/>
  <c r="R414" i="13"/>
  <c r="U414" i="13" s="1"/>
  <c r="R174" i="13"/>
  <c r="U174" i="13" s="1"/>
  <c r="U176" i="13"/>
  <c r="T306" i="13"/>
  <c r="U269" i="13"/>
  <c r="M118" i="13"/>
  <c r="P118" i="13" s="1"/>
  <c r="T378" i="13"/>
  <c r="Q376" i="13"/>
  <c r="T376" i="13" s="1"/>
  <c r="R617" i="13"/>
  <c r="U617" i="13" s="1"/>
  <c r="U619" i="13"/>
  <c r="O359" i="13"/>
  <c r="L357" i="13"/>
  <c r="M187" i="13"/>
  <c r="P187" i="13" s="1"/>
  <c r="P142" i="13"/>
  <c r="M140" i="13"/>
  <c r="P140" i="13" s="1"/>
  <c r="O24" i="13"/>
  <c r="L21" i="13"/>
  <c r="L22" i="13"/>
  <c r="P47" i="13"/>
  <c r="M45" i="13"/>
  <c r="Q267" i="10"/>
  <c r="T267" i="10" s="1"/>
  <c r="I413" i="10"/>
  <c r="K413" i="10" s="1"/>
  <c r="U269" i="9"/>
  <c r="T73" i="11"/>
  <c r="P269" i="12"/>
  <c r="U732" i="13"/>
  <c r="U160" i="13"/>
  <c r="R158" i="13"/>
  <c r="U158" i="13" s="1"/>
  <c r="P20" i="13"/>
  <c r="M21" i="13"/>
  <c r="M19" i="13" s="1"/>
  <c r="P24" i="13"/>
  <c r="U120" i="13"/>
  <c r="P62" i="13"/>
  <c r="M60" i="13"/>
  <c r="P60" i="13" s="1"/>
  <c r="L21" i="10"/>
  <c r="L19" i="10" s="1"/>
  <c r="O176" i="13"/>
  <c r="L174" i="13"/>
  <c r="O174" i="13" s="1"/>
  <c r="O62" i="13"/>
  <c r="L60" i="13"/>
  <c r="O60" i="13" s="1"/>
  <c r="N21" i="13"/>
  <c r="N19" i="13" s="1"/>
  <c r="N22" i="13"/>
  <c r="P22" i="13" s="1"/>
  <c r="T24" i="13"/>
  <c r="Q21" i="13"/>
  <c r="Q22" i="13"/>
  <c r="U270" i="10"/>
  <c r="M158" i="10"/>
  <c r="P158" i="10" s="1"/>
  <c r="R21" i="11"/>
  <c r="R19" i="11" s="1"/>
  <c r="P142" i="11"/>
  <c r="K702" i="12"/>
  <c r="M21" i="12"/>
  <c r="M19" i="12" s="1"/>
  <c r="Q643" i="13"/>
  <c r="T643" i="13" s="1"/>
  <c r="T645" i="13"/>
  <c r="P269" i="13"/>
  <c r="O47" i="13"/>
  <c r="L45" i="13"/>
  <c r="O76" i="12"/>
  <c r="K702" i="11"/>
  <c r="P120" i="12"/>
  <c r="M118" i="12"/>
  <c r="P118" i="12" s="1"/>
  <c r="P97" i="12"/>
  <c r="M95" i="12"/>
  <c r="P95" i="12" s="1"/>
  <c r="P24" i="11"/>
  <c r="P357" i="12"/>
  <c r="O359" i="12"/>
  <c r="P337" i="11"/>
  <c r="R376" i="11"/>
  <c r="U376" i="11" s="1"/>
  <c r="O140" i="11"/>
  <c r="T731" i="12"/>
  <c r="R760" i="12"/>
  <c r="U760" i="12" s="1"/>
  <c r="P48" i="12"/>
  <c r="U691" i="12"/>
  <c r="O306" i="12"/>
  <c r="L304" i="12"/>
  <c r="O304" i="12" s="1"/>
  <c r="Q760" i="9"/>
  <c r="T760" i="9" s="1"/>
  <c r="K375" i="9"/>
  <c r="O334" i="10"/>
  <c r="P269" i="10"/>
  <c r="N95" i="10"/>
  <c r="N41" i="10" s="1"/>
  <c r="U73" i="11"/>
  <c r="O176" i="11"/>
  <c r="U269" i="12"/>
  <c r="O62" i="12"/>
  <c r="O269" i="12"/>
  <c r="L267" i="12"/>
  <c r="O267" i="12" s="1"/>
  <c r="U732" i="9"/>
  <c r="O516" i="11"/>
  <c r="L233" i="11"/>
  <c r="U731" i="12"/>
  <c r="P63" i="12"/>
  <c r="M140" i="12"/>
  <c r="P140" i="12" s="1"/>
  <c r="R140" i="10"/>
  <c r="U140" i="10" s="1"/>
  <c r="O283" i="11"/>
  <c r="T97" i="11"/>
  <c r="M140" i="11"/>
  <c r="P140" i="11" s="1"/>
  <c r="N267" i="12"/>
  <c r="P267" i="12" s="1"/>
  <c r="P62" i="12"/>
  <c r="U176" i="12"/>
  <c r="R174" i="12"/>
  <c r="U174" i="12" s="1"/>
  <c r="Q174" i="4"/>
  <c r="T174" i="4" s="1"/>
  <c r="U189" i="8"/>
  <c r="R73" i="9"/>
  <c r="U73" i="9" s="1"/>
  <c r="O357" i="9"/>
  <c r="T763" i="9"/>
  <c r="T95" i="10"/>
  <c r="U120" i="10"/>
  <c r="U75" i="11"/>
  <c r="Q21" i="11"/>
  <c r="U22" i="11"/>
  <c r="O161" i="11"/>
  <c r="M22" i="11"/>
  <c r="P22" i="11" s="1"/>
  <c r="L233" i="12"/>
  <c r="I71" i="12"/>
  <c r="K71" i="12" s="1"/>
  <c r="T416" i="12"/>
  <c r="Q414" i="12"/>
  <c r="T414" i="12" s="1"/>
  <c r="S22" i="12"/>
  <c r="T643" i="8"/>
  <c r="L25" i="11"/>
  <c r="O25" i="11" s="1"/>
  <c r="O160" i="11"/>
  <c r="P270" i="11"/>
  <c r="P359" i="12"/>
  <c r="O190" i="12"/>
  <c r="U693" i="12"/>
  <c r="T729" i="12"/>
  <c r="U729" i="12"/>
  <c r="P45" i="12"/>
  <c r="R376" i="10"/>
  <c r="U376" i="10" s="1"/>
  <c r="R494" i="11"/>
  <c r="U494" i="11" s="1"/>
  <c r="Q643" i="12"/>
  <c r="T643" i="12" s="1"/>
  <c r="T645" i="12"/>
  <c r="U416" i="12"/>
  <c r="R414" i="12"/>
  <c r="U414" i="12" s="1"/>
  <c r="L514" i="12"/>
  <c r="O514" i="12" s="1"/>
  <c r="L334" i="12"/>
  <c r="O334" i="12" s="1"/>
  <c r="O336" i="12"/>
  <c r="N21" i="12"/>
  <c r="P24" i="12"/>
  <c r="K84" i="12"/>
  <c r="I72" i="12"/>
  <c r="K72" i="12" s="1"/>
  <c r="N22" i="12"/>
  <c r="P22" i="12" s="1"/>
  <c r="R617" i="12"/>
  <c r="U617" i="12" s="1"/>
  <c r="U619" i="12"/>
  <c r="L321" i="12"/>
  <c r="O321" i="12" s="1"/>
  <c r="O189" i="12"/>
  <c r="P189" i="12"/>
  <c r="O24" i="12"/>
  <c r="L21" i="12"/>
  <c r="L22" i="12"/>
  <c r="U24" i="12"/>
  <c r="R21" i="12"/>
  <c r="R22" i="12"/>
  <c r="U189" i="9"/>
  <c r="T379" i="10"/>
  <c r="O62" i="10"/>
  <c r="T731" i="11"/>
  <c r="P336" i="11"/>
  <c r="U24" i="11"/>
  <c r="N187" i="11"/>
  <c r="N41" i="11" s="1"/>
  <c r="Q617" i="12"/>
  <c r="T617" i="12" s="1"/>
  <c r="L283" i="12"/>
  <c r="O283" i="12" s="1"/>
  <c r="O285" i="12"/>
  <c r="T267" i="12"/>
  <c r="O142" i="12"/>
  <c r="L140" i="12"/>
  <c r="O140" i="12" s="1"/>
  <c r="R140" i="12"/>
  <c r="U140" i="12" s="1"/>
  <c r="U142" i="12"/>
  <c r="U270" i="11"/>
  <c r="P187" i="12"/>
  <c r="O27" i="12"/>
  <c r="L25" i="12"/>
  <c r="O25" i="12" s="1"/>
  <c r="O73" i="12"/>
  <c r="L60" i="12"/>
  <c r="O60" i="12" s="1"/>
  <c r="O75" i="12"/>
  <c r="P75" i="12"/>
  <c r="U732" i="12"/>
  <c r="P285" i="12"/>
  <c r="M283" i="12"/>
  <c r="P283" i="12" s="1"/>
  <c r="Q494" i="12"/>
  <c r="T494" i="12" s="1"/>
  <c r="T24" i="12"/>
  <c r="Q21" i="12"/>
  <c r="L45" i="12"/>
  <c r="Q22" i="12"/>
  <c r="T22" i="12" s="1"/>
  <c r="Q304" i="12"/>
  <c r="T304" i="12" s="1"/>
  <c r="T306" i="12"/>
  <c r="P47" i="12"/>
  <c r="S21" i="11"/>
  <c r="S19" i="11" s="1"/>
  <c r="U306" i="11"/>
  <c r="P158" i="11"/>
  <c r="Q691" i="12"/>
  <c r="T691" i="12" s="1"/>
  <c r="T693" i="12"/>
  <c r="M321" i="12"/>
  <c r="P321" i="12" s="1"/>
  <c r="L158" i="12"/>
  <c r="O158" i="12" s="1"/>
  <c r="Q187" i="12"/>
  <c r="T75" i="12"/>
  <c r="Q73" i="12"/>
  <c r="T267" i="11"/>
  <c r="L321" i="11"/>
  <c r="O321" i="11" s="1"/>
  <c r="O142" i="11"/>
  <c r="T75" i="11"/>
  <c r="M334" i="11"/>
  <c r="P334" i="11" s="1"/>
  <c r="P73" i="10"/>
  <c r="U97" i="11"/>
  <c r="M25" i="11"/>
  <c r="P25" i="11" s="1"/>
  <c r="P27" i="11"/>
  <c r="S617" i="11"/>
  <c r="T617" i="11" s="1"/>
  <c r="O189" i="11"/>
  <c r="L187" i="11"/>
  <c r="T160" i="6"/>
  <c r="M321" i="8"/>
  <c r="P321" i="8" s="1"/>
  <c r="O142" i="8"/>
  <c r="P75" i="10"/>
  <c r="U732" i="11"/>
  <c r="P62" i="11"/>
  <c r="U76" i="11"/>
  <c r="O48" i="10"/>
  <c r="M514" i="11"/>
  <c r="P514" i="11" s="1"/>
  <c r="P98" i="11"/>
  <c r="O73" i="11"/>
  <c r="U160" i="11"/>
  <c r="R158" i="11"/>
  <c r="U158" i="11" s="1"/>
  <c r="O306" i="11"/>
  <c r="L118" i="8"/>
  <c r="O118" i="8" s="1"/>
  <c r="O75" i="10"/>
  <c r="S691" i="10"/>
  <c r="U691" i="10" s="1"/>
  <c r="O47" i="10"/>
  <c r="O336" i="10"/>
  <c r="M267" i="11"/>
  <c r="P267" i="11" s="1"/>
  <c r="U617" i="10"/>
  <c r="O47" i="11"/>
  <c r="S95" i="11"/>
  <c r="T95" i="11" s="1"/>
  <c r="T496" i="11"/>
  <c r="Q494" i="11"/>
  <c r="T494" i="11" s="1"/>
  <c r="P306" i="11"/>
  <c r="M304" i="11"/>
  <c r="P304" i="11" s="1"/>
  <c r="T694" i="9"/>
  <c r="O75" i="11"/>
  <c r="R95" i="11"/>
  <c r="O304" i="11"/>
  <c r="O62" i="11"/>
  <c r="U189" i="11"/>
  <c r="R187" i="11"/>
  <c r="U187" i="11" s="1"/>
  <c r="M21" i="11"/>
  <c r="M19" i="11" s="1"/>
  <c r="T97" i="10"/>
  <c r="Q643" i="11"/>
  <c r="T643" i="11" s="1"/>
  <c r="T645" i="11"/>
  <c r="O336" i="11"/>
  <c r="L334" i="11"/>
  <c r="O334" i="11" s="1"/>
  <c r="U645" i="11"/>
  <c r="P75" i="11"/>
  <c r="M73" i="11"/>
  <c r="P73" i="11" s="1"/>
  <c r="P48" i="11"/>
  <c r="L95" i="11"/>
  <c r="O95" i="11" s="1"/>
  <c r="U693" i="11"/>
  <c r="O48" i="11"/>
  <c r="N21" i="11"/>
  <c r="N19" i="11" s="1"/>
  <c r="T378" i="11"/>
  <c r="Q376" i="11"/>
  <c r="T376" i="11" s="1"/>
  <c r="I72" i="11"/>
  <c r="K72" i="11" s="1"/>
  <c r="K84" i="11"/>
  <c r="T142" i="10"/>
  <c r="Q140" i="10"/>
  <c r="T140" i="10" s="1"/>
  <c r="R95" i="1"/>
  <c r="U95" i="1" s="1"/>
  <c r="I413" i="6"/>
  <c r="K413" i="6" s="1"/>
  <c r="O336" i="6"/>
  <c r="R267" i="9"/>
  <c r="U267" i="9" s="1"/>
  <c r="P336" i="10"/>
  <c r="R617" i="11"/>
  <c r="U619" i="11"/>
  <c r="K243" i="11"/>
  <c r="I232" i="11"/>
  <c r="P285" i="11"/>
  <c r="M283" i="11"/>
  <c r="P283" i="11" s="1"/>
  <c r="P47" i="11"/>
  <c r="M45" i="11"/>
  <c r="U120" i="11"/>
  <c r="R118" i="11"/>
  <c r="U118" i="11" s="1"/>
  <c r="R760" i="11"/>
  <c r="U760" i="11" s="1"/>
  <c r="O45" i="11"/>
  <c r="R760" i="7"/>
  <c r="U760" i="7" s="1"/>
  <c r="T763" i="8"/>
  <c r="L233" i="9"/>
  <c r="M334" i="10"/>
  <c r="P334" i="10" s="1"/>
  <c r="O189" i="10"/>
  <c r="T120" i="10"/>
  <c r="U619" i="10"/>
  <c r="T693" i="10"/>
  <c r="T620" i="11"/>
  <c r="O285" i="11"/>
  <c r="O24" i="11"/>
  <c r="L22" i="11"/>
  <c r="O22" i="11" s="1"/>
  <c r="L21" i="11"/>
  <c r="Q691" i="11"/>
  <c r="T691" i="11" s="1"/>
  <c r="T693" i="11"/>
  <c r="R414" i="11"/>
  <c r="U414" i="11" s="1"/>
  <c r="U416" i="11"/>
  <c r="T304" i="7"/>
  <c r="T763" i="7"/>
  <c r="T118" i="10"/>
  <c r="U691" i="11"/>
  <c r="U643" i="11"/>
  <c r="T97" i="3"/>
  <c r="T620" i="7"/>
  <c r="M158" i="7"/>
  <c r="P158" i="7" s="1"/>
  <c r="P158" i="6"/>
  <c r="P24" i="10"/>
  <c r="P189" i="10"/>
  <c r="U118" i="10"/>
  <c r="Q729" i="11"/>
  <c r="T729" i="11" s="1"/>
  <c r="L187" i="10"/>
  <c r="O187" i="10" s="1"/>
  <c r="R158" i="10"/>
  <c r="U158" i="10" s="1"/>
  <c r="L60" i="10"/>
  <c r="O60" i="10" s="1"/>
  <c r="K83" i="10"/>
  <c r="U176" i="10"/>
  <c r="R174" i="10"/>
  <c r="U174" i="10" s="1"/>
  <c r="T176" i="10"/>
  <c r="Q174" i="10"/>
  <c r="T174" i="10" s="1"/>
  <c r="L267" i="10"/>
  <c r="O267" i="10" s="1"/>
  <c r="O269" i="10"/>
  <c r="O177" i="10"/>
  <c r="T189" i="9"/>
  <c r="L73" i="10"/>
  <c r="O73" i="10" s="1"/>
  <c r="U76" i="10"/>
  <c r="K702" i="10"/>
  <c r="Q414" i="10"/>
  <c r="T414" i="10" s="1"/>
  <c r="O142" i="10"/>
  <c r="L140" i="10"/>
  <c r="O140" i="10" s="1"/>
  <c r="T98" i="9"/>
  <c r="T620" i="10"/>
  <c r="T118" i="6"/>
  <c r="O174" i="6"/>
  <c r="T120" i="9"/>
  <c r="L118" i="9"/>
  <c r="O118" i="9" s="1"/>
  <c r="M95" i="9"/>
  <c r="P95" i="9" s="1"/>
  <c r="M21" i="9"/>
  <c r="M19" i="9" s="1"/>
  <c r="P174" i="10"/>
  <c r="U190" i="10"/>
  <c r="U416" i="10"/>
  <c r="R414" i="10"/>
  <c r="U414" i="10" s="1"/>
  <c r="T160" i="10"/>
  <c r="Q158" i="10"/>
  <c r="T158" i="10" s="1"/>
  <c r="O97" i="10"/>
  <c r="L95" i="10"/>
  <c r="O95" i="10" s="1"/>
  <c r="P359" i="2"/>
  <c r="L158" i="4"/>
  <c r="O158" i="4" s="1"/>
  <c r="O336" i="5"/>
  <c r="U643" i="4"/>
  <c r="Q73" i="7"/>
  <c r="T73" i="7" s="1"/>
  <c r="T619" i="8"/>
  <c r="R643" i="8"/>
  <c r="U643" i="8" s="1"/>
  <c r="S267" i="8"/>
  <c r="U267" i="8" s="1"/>
  <c r="P45" i="8"/>
  <c r="T118" i="9"/>
  <c r="R95" i="9"/>
  <c r="U95" i="9" s="1"/>
  <c r="L283" i="9"/>
  <c r="O283" i="9" s="1"/>
  <c r="P60" i="9"/>
  <c r="U645" i="9"/>
  <c r="L22" i="10"/>
  <c r="U24" i="10"/>
  <c r="R21" i="10"/>
  <c r="P176" i="10"/>
  <c r="M187" i="10"/>
  <c r="P187" i="10" s="1"/>
  <c r="O359" i="2"/>
  <c r="P142" i="5"/>
  <c r="T645" i="4"/>
  <c r="T306" i="5"/>
  <c r="K83" i="7"/>
  <c r="T731" i="9"/>
  <c r="L95" i="9"/>
  <c r="O95" i="9" s="1"/>
  <c r="P359" i="10"/>
  <c r="T762" i="10"/>
  <c r="O357" i="10"/>
  <c r="O306" i="10"/>
  <c r="L304" i="10"/>
  <c r="O304" i="10" s="1"/>
  <c r="T694" i="10"/>
  <c r="P120" i="10"/>
  <c r="M118" i="10"/>
  <c r="P118" i="10" s="1"/>
  <c r="P306" i="4"/>
  <c r="T496" i="7"/>
  <c r="P27" i="8"/>
  <c r="O334" i="7"/>
  <c r="R691" i="9"/>
  <c r="U691" i="9" s="1"/>
  <c r="O359" i="9"/>
  <c r="U24" i="9"/>
  <c r="O24" i="10"/>
  <c r="R494" i="10"/>
  <c r="U494" i="10" s="1"/>
  <c r="M140" i="10"/>
  <c r="P140" i="10" s="1"/>
  <c r="T645" i="10"/>
  <c r="Q643" i="10"/>
  <c r="T643" i="10" s="1"/>
  <c r="O359" i="10"/>
  <c r="O177" i="7"/>
  <c r="P47" i="8"/>
  <c r="T620" i="9"/>
  <c r="P62" i="9"/>
  <c r="M25" i="9"/>
  <c r="P25" i="9" s="1"/>
  <c r="L25" i="10"/>
  <c r="O25" i="10" s="1"/>
  <c r="O120" i="10"/>
  <c r="L118" i="10"/>
  <c r="O118" i="10" s="1"/>
  <c r="U97" i="10"/>
  <c r="R95" i="10"/>
  <c r="U95" i="10" s="1"/>
  <c r="P285" i="10"/>
  <c r="M283" i="10"/>
  <c r="P283" i="10" s="1"/>
  <c r="T189" i="10"/>
  <c r="Q187" i="10"/>
  <c r="T187" i="10" s="1"/>
  <c r="P160" i="8"/>
  <c r="R267" i="10"/>
  <c r="U267" i="10" s="1"/>
  <c r="U269" i="10"/>
  <c r="Q21" i="10"/>
  <c r="T24" i="10"/>
  <c r="P62" i="10"/>
  <c r="M60" i="10"/>
  <c r="P60" i="10" s="1"/>
  <c r="O255" i="10"/>
  <c r="L233" i="10"/>
  <c r="I72" i="10"/>
  <c r="K72" i="10" s="1"/>
  <c r="K84" i="10"/>
  <c r="R643" i="9"/>
  <c r="U643" i="9" s="1"/>
  <c r="Q187" i="9"/>
  <c r="T187" i="9" s="1"/>
  <c r="T376" i="9"/>
  <c r="T619" i="10"/>
  <c r="L321" i="10"/>
  <c r="O321" i="10" s="1"/>
  <c r="O283" i="10"/>
  <c r="N21" i="10"/>
  <c r="N22" i="10"/>
  <c r="P22" i="10" s="1"/>
  <c r="K232" i="10"/>
  <c r="I186" i="10"/>
  <c r="K186" i="10" s="1"/>
  <c r="L514" i="10"/>
  <c r="O514" i="10" s="1"/>
  <c r="O516" i="10"/>
  <c r="O223" i="1"/>
  <c r="T619" i="5"/>
  <c r="P62" i="6"/>
  <c r="O177" i="9"/>
  <c r="U731" i="9"/>
  <c r="M514" i="10"/>
  <c r="P514" i="10" s="1"/>
  <c r="M267" i="10"/>
  <c r="P267" i="10" s="1"/>
  <c r="O45" i="10"/>
  <c r="L174" i="10"/>
  <c r="O174" i="10" s="1"/>
  <c r="O176" i="10"/>
  <c r="M304" i="10"/>
  <c r="P304" i="10" s="1"/>
  <c r="P306" i="10"/>
  <c r="U619" i="5"/>
  <c r="P176" i="6"/>
  <c r="O323" i="7"/>
  <c r="O176" i="8"/>
  <c r="P270" i="8"/>
  <c r="P337" i="9"/>
  <c r="R376" i="9"/>
  <c r="U376" i="9" s="1"/>
  <c r="U306" i="9"/>
  <c r="T617" i="10"/>
  <c r="M357" i="10"/>
  <c r="P357" i="10" s="1"/>
  <c r="Q304" i="10"/>
  <c r="T304" i="10" s="1"/>
  <c r="P47" i="10"/>
  <c r="M45" i="10"/>
  <c r="Q494" i="10"/>
  <c r="T494" i="10" s="1"/>
  <c r="T496" i="10"/>
  <c r="L158" i="10"/>
  <c r="O158" i="10" s="1"/>
  <c r="U731" i="10"/>
  <c r="R729" i="10"/>
  <c r="U729" i="10" s="1"/>
  <c r="T75" i="10"/>
  <c r="Q73" i="10"/>
  <c r="T73" i="10" s="1"/>
  <c r="T693" i="5"/>
  <c r="U693" i="5"/>
  <c r="K375" i="7"/>
  <c r="R140" i="9"/>
  <c r="U140" i="9" s="1"/>
  <c r="O336" i="9"/>
  <c r="S22" i="9"/>
  <c r="M321" i="10"/>
  <c r="P321" i="10" s="1"/>
  <c r="Q22" i="10"/>
  <c r="T22" i="10" s="1"/>
  <c r="M25" i="10"/>
  <c r="P25" i="10" s="1"/>
  <c r="P27" i="10"/>
  <c r="M21" i="10"/>
  <c r="O176" i="7"/>
  <c r="L267" i="8"/>
  <c r="O267" i="8" s="1"/>
  <c r="T732" i="9"/>
  <c r="M73" i="9"/>
  <c r="P73" i="9" s="1"/>
  <c r="O283" i="2"/>
  <c r="T620" i="4"/>
  <c r="O189" i="5"/>
  <c r="T267" i="6"/>
  <c r="U189" i="7"/>
  <c r="T306" i="6"/>
  <c r="P269" i="8"/>
  <c r="P189" i="5"/>
  <c r="O176" i="6"/>
  <c r="O286" i="6"/>
  <c r="U121" i="7"/>
  <c r="U646" i="8"/>
  <c r="R187" i="8"/>
  <c r="U187" i="8" s="1"/>
  <c r="O189" i="8"/>
  <c r="T691" i="7"/>
  <c r="S304" i="9"/>
  <c r="T304" i="9" s="1"/>
  <c r="M140" i="9"/>
  <c r="P140" i="9" s="1"/>
  <c r="M514" i="9"/>
  <c r="P514" i="9" s="1"/>
  <c r="U694" i="9"/>
  <c r="T496" i="4"/>
  <c r="T97" i="9"/>
  <c r="Q95" i="9"/>
  <c r="T95" i="9" s="1"/>
  <c r="P285" i="5"/>
  <c r="U496" i="7"/>
  <c r="P176" i="7"/>
  <c r="L267" i="9"/>
  <c r="O267" i="9" s="1"/>
  <c r="M283" i="9"/>
  <c r="P283" i="9" s="1"/>
  <c r="O160" i="9"/>
  <c r="L158" i="9"/>
  <c r="O158" i="9" s="1"/>
  <c r="O62" i="7"/>
  <c r="P97" i="7"/>
  <c r="O27" i="9"/>
  <c r="L25" i="9"/>
  <c r="O25" i="9" s="1"/>
  <c r="P24" i="7"/>
  <c r="T693" i="7"/>
  <c r="O47" i="8"/>
  <c r="U620" i="9"/>
  <c r="T619" i="9"/>
  <c r="N21" i="9"/>
  <c r="O176" i="9"/>
  <c r="L174" i="9"/>
  <c r="O174" i="9" s="1"/>
  <c r="R376" i="6"/>
  <c r="U376" i="6" s="1"/>
  <c r="P336" i="7"/>
  <c r="P47" i="7"/>
  <c r="T97" i="7"/>
  <c r="M22" i="7"/>
  <c r="P22" i="7" s="1"/>
  <c r="Q414" i="8"/>
  <c r="T414" i="8" s="1"/>
  <c r="P158" i="8"/>
  <c r="T645" i="9"/>
  <c r="P189" i="9"/>
  <c r="O158" i="8"/>
  <c r="T619" i="4"/>
  <c r="S304" i="6"/>
  <c r="U304" i="6" s="1"/>
  <c r="K702" i="7"/>
  <c r="P334" i="7"/>
  <c r="U306" i="6"/>
  <c r="Q174" i="7"/>
  <c r="T174" i="7" s="1"/>
  <c r="U619" i="9"/>
  <c r="R617" i="9"/>
  <c r="U617" i="9" s="1"/>
  <c r="M304" i="9"/>
  <c r="P304" i="9" s="1"/>
  <c r="O142" i="9"/>
  <c r="L140" i="9"/>
  <c r="O140" i="9" s="1"/>
  <c r="L21" i="9"/>
  <c r="L19" i="9" s="1"/>
  <c r="P120" i="9"/>
  <c r="M118" i="9"/>
  <c r="P118" i="9" s="1"/>
  <c r="T75" i="8"/>
  <c r="U620" i="8"/>
  <c r="P176" i="9"/>
  <c r="M174" i="9"/>
  <c r="P174" i="9" s="1"/>
  <c r="R22" i="9"/>
  <c r="R21" i="9"/>
  <c r="O285" i="7"/>
  <c r="P177" i="7"/>
  <c r="U24" i="7"/>
  <c r="K375" i="8"/>
  <c r="P190" i="8"/>
  <c r="R760" i="9"/>
  <c r="U760" i="9" s="1"/>
  <c r="O334" i="9"/>
  <c r="O516" i="9"/>
  <c r="L514" i="9"/>
  <c r="O514" i="9" s="1"/>
  <c r="P359" i="9"/>
  <c r="M357" i="9"/>
  <c r="P357" i="9" s="1"/>
  <c r="K254" i="9"/>
  <c r="I232" i="9"/>
  <c r="T176" i="8"/>
  <c r="Q174" i="8"/>
  <c r="T174" i="8" s="1"/>
  <c r="M267" i="9"/>
  <c r="P267" i="9" s="1"/>
  <c r="L45" i="9"/>
  <c r="Q21" i="9"/>
  <c r="T24" i="9"/>
  <c r="P336" i="9"/>
  <c r="P360" i="1"/>
  <c r="O47" i="7"/>
  <c r="Q304" i="8"/>
  <c r="T304" i="8" s="1"/>
  <c r="M514" i="8"/>
  <c r="P514" i="8" s="1"/>
  <c r="P75" i="8"/>
  <c r="K424" i="9"/>
  <c r="I413" i="9"/>
  <c r="K413" i="9" s="1"/>
  <c r="Q158" i="9"/>
  <c r="T158" i="9" s="1"/>
  <c r="T160" i="9"/>
  <c r="N22" i="9"/>
  <c r="O22" i="9" s="1"/>
  <c r="U645" i="4"/>
  <c r="L45" i="8"/>
  <c r="O45" i="8" s="1"/>
  <c r="Q643" i="9"/>
  <c r="T643" i="9" s="1"/>
  <c r="U187" i="9"/>
  <c r="N187" i="9"/>
  <c r="P187" i="9" s="1"/>
  <c r="O189" i="9"/>
  <c r="I72" i="9"/>
  <c r="K72" i="9" s="1"/>
  <c r="K84" i="9"/>
  <c r="L321" i="9"/>
  <c r="O321" i="9" s="1"/>
  <c r="O48" i="9"/>
  <c r="P48" i="9"/>
  <c r="L60" i="9"/>
  <c r="O60" i="9" s="1"/>
  <c r="Q174" i="9"/>
  <c r="T174" i="9" s="1"/>
  <c r="T176" i="9"/>
  <c r="U620" i="4"/>
  <c r="T121" i="4"/>
  <c r="T732" i="8"/>
  <c r="O75" i="8"/>
  <c r="U416" i="9"/>
  <c r="R414" i="9"/>
  <c r="U414" i="9" s="1"/>
  <c r="U120" i="9"/>
  <c r="R118" i="9"/>
  <c r="U118" i="9" s="1"/>
  <c r="Q617" i="9"/>
  <c r="T617" i="9" s="1"/>
  <c r="U176" i="9"/>
  <c r="R174" i="9"/>
  <c r="U174" i="9" s="1"/>
  <c r="T378" i="9"/>
  <c r="U121" i="4"/>
  <c r="P283" i="7"/>
  <c r="P285" i="7"/>
  <c r="Q729" i="9"/>
  <c r="T729" i="9" s="1"/>
  <c r="Q691" i="9"/>
  <c r="T691" i="9" s="1"/>
  <c r="U160" i="9"/>
  <c r="R158" i="9"/>
  <c r="U158" i="9" s="1"/>
  <c r="O63" i="9"/>
  <c r="P63" i="9"/>
  <c r="Q22" i="9"/>
  <c r="O24" i="9"/>
  <c r="P334" i="9"/>
  <c r="P24" i="9"/>
  <c r="T378" i="4"/>
  <c r="O160" i="8"/>
  <c r="P174" i="6"/>
  <c r="K333" i="5"/>
  <c r="P334" i="5"/>
  <c r="Q760" i="6"/>
  <c r="T760" i="6" s="1"/>
  <c r="O189" i="6"/>
  <c r="T729" i="5"/>
  <c r="P267" i="7"/>
  <c r="O359" i="8"/>
  <c r="O190" i="8"/>
  <c r="T620" i="8"/>
  <c r="O285" i="4"/>
  <c r="T731" i="5"/>
  <c r="T269" i="5"/>
  <c r="T617" i="8"/>
  <c r="U694" i="8"/>
  <c r="U762" i="4"/>
  <c r="Q376" i="4"/>
  <c r="T376" i="4" s="1"/>
  <c r="U118" i="6"/>
  <c r="U619" i="7"/>
  <c r="I413" i="7"/>
  <c r="K413" i="7" s="1"/>
  <c r="R21" i="7"/>
  <c r="R19" i="7" s="1"/>
  <c r="M73" i="8"/>
  <c r="P73" i="8" s="1"/>
  <c r="U97" i="8"/>
  <c r="R95" i="8"/>
  <c r="U95" i="8" s="1"/>
  <c r="U267" i="4"/>
  <c r="U693" i="6"/>
  <c r="L118" i="6"/>
  <c r="O118" i="6" s="1"/>
  <c r="T763" i="6"/>
  <c r="U732" i="7"/>
  <c r="Q617" i="7"/>
  <c r="T617" i="7" s="1"/>
  <c r="M514" i="7"/>
  <c r="P514" i="7" s="1"/>
  <c r="Q140" i="7"/>
  <c r="T140" i="7" s="1"/>
  <c r="N21" i="7"/>
  <c r="N19" i="7" s="1"/>
  <c r="P142" i="7"/>
  <c r="N140" i="7"/>
  <c r="P140" i="7" s="1"/>
  <c r="O306" i="8"/>
  <c r="M267" i="8"/>
  <c r="P267" i="8" s="1"/>
  <c r="K424" i="8"/>
  <c r="M22" i="8"/>
  <c r="M21" i="8"/>
  <c r="M19" i="8" s="1"/>
  <c r="Q187" i="8"/>
  <c r="T187" i="8" s="1"/>
  <c r="S73" i="8"/>
  <c r="T73" i="8" s="1"/>
  <c r="T379" i="1"/>
  <c r="T378" i="6"/>
  <c r="P306" i="6"/>
  <c r="P47" i="6"/>
  <c r="P75" i="6"/>
  <c r="T376" i="7"/>
  <c r="P269" i="7"/>
  <c r="M21" i="7"/>
  <c r="M19" i="7" s="1"/>
  <c r="U691" i="7"/>
  <c r="P304" i="8"/>
  <c r="O215" i="1"/>
  <c r="T120" i="6"/>
  <c r="L304" i="7"/>
  <c r="O304" i="7" s="1"/>
  <c r="M118" i="8"/>
  <c r="P118" i="8" s="1"/>
  <c r="R760" i="8"/>
  <c r="U760" i="8" s="1"/>
  <c r="U762" i="8"/>
  <c r="P357" i="8"/>
  <c r="O323" i="8"/>
  <c r="L321" i="8"/>
  <c r="O321" i="8" s="1"/>
  <c r="T142" i="8"/>
  <c r="Q140" i="8"/>
  <c r="T140" i="8" s="1"/>
  <c r="N21" i="8"/>
  <c r="P24" i="8"/>
  <c r="R21" i="8"/>
  <c r="U24" i="8"/>
  <c r="R22" i="8"/>
  <c r="R73" i="4"/>
  <c r="U73" i="4" s="1"/>
  <c r="I413" i="5"/>
  <c r="K413" i="5" s="1"/>
  <c r="U729" i="6"/>
  <c r="P267" i="6"/>
  <c r="M321" i="6"/>
  <c r="P321" i="6" s="1"/>
  <c r="R414" i="7"/>
  <c r="U414" i="7" s="1"/>
  <c r="U693" i="7"/>
  <c r="P359" i="7"/>
  <c r="O189" i="7"/>
  <c r="U693" i="8"/>
  <c r="K243" i="8"/>
  <c r="I232" i="8"/>
  <c r="L357" i="8"/>
  <c r="O357" i="8" s="1"/>
  <c r="P285" i="8"/>
  <c r="M283" i="8"/>
  <c r="R494" i="8"/>
  <c r="U494" i="8" s="1"/>
  <c r="P306" i="8"/>
  <c r="O286" i="8"/>
  <c r="P286" i="8"/>
  <c r="N60" i="8"/>
  <c r="O60" i="8" s="1"/>
  <c r="O62" i="8"/>
  <c r="P359" i="8"/>
  <c r="P142" i="8"/>
  <c r="M140" i="8"/>
  <c r="P140" i="8" s="1"/>
  <c r="O48" i="8"/>
  <c r="P360" i="5"/>
  <c r="U763" i="7"/>
  <c r="Q729" i="8"/>
  <c r="T729" i="8" s="1"/>
  <c r="T731" i="8"/>
  <c r="U691" i="8"/>
  <c r="U307" i="8"/>
  <c r="L304" i="8"/>
  <c r="O304" i="8" s="1"/>
  <c r="M95" i="8"/>
  <c r="P95" i="8" s="1"/>
  <c r="P176" i="8"/>
  <c r="U120" i="8"/>
  <c r="S118" i="8"/>
  <c r="U118" i="8" s="1"/>
  <c r="I71" i="8"/>
  <c r="K71" i="8" s="1"/>
  <c r="K83" i="8"/>
  <c r="Q140" i="2"/>
  <c r="T140" i="2" s="1"/>
  <c r="O160" i="5"/>
  <c r="U731" i="8"/>
  <c r="R729" i="8"/>
  <c r="U729" i="8" s="1"/>
  <c r="N283" i="8"/>
  <c r="O283" i="8" s="1"/>
  <c r="O285" i="8"/>
  <c r="L140" i="8"/>
  <c r="O140" i="8" s="1"/>
  <c r="T160" i="8"/>
  <c r="Q158" i="8"/>
  <c r="T158" i="8" s="1"/>
  <c r="N174" i="8"/>
  <c r="O174" i="8" s="1"/>
  <c r="T120" i="8"/>
  <c r="N22" i="8"/>
  <c r="O244" i="8"/>
  <c r="L233" i="8"/>
  <c r="S22" i="8"/>
  <c r="T22" i="8" s="1"/>
  <c r="S21" i="8"/>
  <c r="S19" i="8" s="1"/>
  <c r="U619" i="4"/>
  <c r="U76" i="7"/>
  <c r="T693" i="8"/>
  <c r="P336" i="8"/>
  <c r="M334" i="8"/>
  <c r="P334" i="8" s="1"/>
  <c r="O336" i="8"/>
  <c r="L334" i="8"/>
  <c r="O334" i="8" s="1"/>
  <c r="M60" i="8"/>
  <c r="P62" i="8"/>
  <c r="U378" i="8"/>
  <c r="R376" i="8"/>
  <c r="U376" i="8" s="1"/>
  <c r="U75" i="8"/>
  <c r="R73" i="8"/>
  <c r="T20" i="8"/>
  <c r="P63" i="8"/>
  <c r="Q414" i="6"/>
  <c r="T414" i="6" s="1"/>
  <c r="T121" i="7"/>
  <c r="L95" i="7"/>
  <c r="O95" i="7" s="1"/>
  <c r="T269" i="8"/>
  <c r="Q267" i="8"/>
  <c r="R304" i="8"/>
  <c r="U304" i="8" s="1"/>
  <c r="O27" i="8"/>
  <c r="L25" i="8"/>
  <c r="O25" i="8" s="1"/>
  <c r="T24" i="8"/>
  <c r="Q21" i="8"/>
  <c r="L21" i="8"/>
  <c r="O24" i="8"/>
  <c r="L22" i="8"/>
  <c r="L73" i="8"/>
  <c r="O73" i="8" s="1"/>
  <c r="K84" i="8"/>
  <c r="I72" i="8"/>
  <c r="K72" i="8" s="1"/>
  <c r="P189" i="8"/>
  <c r="N187" i="8"/>
  <c r="P334" i="4"/>
  <c r="U643" i="6"/>
  <c r="O75" i="7"/>
  <c r="L140" i="7"/>
  <c r="O142" i="7"/>
  <c r="P140" i="6"/>
  <c r="R187" i="7"/>
  <c r="U187" i="7" s="1"/>
  <c r="O73" i="7"/>
  <c r="T190" i="6"/>
  <c r="O160" i="6"/>
  <c r="M174" i="7"/>
  <c r="P174" i="7" s="1"/>
  <c r="L45" i="7"/>
  <c r="O45" i="7" s="1"/>
  <c r="R174" i="5"/>
  <c r="U174" i="5" s="1"/>
  <c r="M357" i="7"/>
  <c r="P357" i="7" s="1"/>
  <c r="K702" i="5"/>
  <c r="P323" i="5"/>
  <c r="I71" i="5"/>
  <c r="K71" i="5" s="1"/>
  <c r="L158" i="6"/>
  <c r="O158" i="6" s="1"/>
  <c r="U120" i="6"/>
  <c r="P285" i="6"/>
  <c r="M95" i="7"/>
  <c r="P95" i="7" s="1"/>
  <c r="T378" i="7"/>
  <c r="P285" i="4"/>
  <c r="Q140" i="5"/>
  <c r="T140" i="5" s="1"/>
  <c r="Q21" i="5"/>
  <c r="U190" i="5"/>
  <c r="T693" i="6"/>
  <c r="O359" i="6"/>
  <c r="M304" i="6"/>
  <c r="P304" i="6" s="1"/>
  <c r="T269" i="6"/>
  <c r="P336" i="6"/>
  <c r="L283" i="7"/>
  <c r="O283" i="7" s="1"/>
  <c r="L267" i="7"/>
  <c r="O267" i="7" s="1"/>
  <c r="O120" i="7"/>
  <c r="L118" i="7"/>
  <c r="O118" i="7" s="1"/>
  <c r="P267" i="2"/>
  <c r="T645" i="6"/>
  <c r="M118" i="6"/>
  <c r="P118" i="6" s="1"/>
  <c r="O337" i="7"/>
  <c r="U190" i="6"/>
  <c r="U732" i="5"/>
  <c r="U691" i="6"/>
  <c r="U269" i="6"/>
  <c r="Q21" i="7"/>
  <c r="T24" i="7"/>
  <c r="L233" i="7"/>
  <c r="O244" i="7"/>
  <c r="U645" i="6"/>
  <c r="P160" i="6"/>
  <c r="Q174" i="6"/>
  <c r="T174" i="6" s="1"/>
  <c r="U304" i="7"/>
  <c r="N187" i="7"/>
  <c r="P189" i="7"/>
  <c r="O336" i="7"/>
  <c r="P323" i="7"/>
  <c r="M321" i="7"/>
  <c r="P321" i="7" s="1"/>
  <c r="O334" i="4"/>
  <c r="P160" i="5"/>
  <c r="T694" i="6"/>
  <c r="R73" i="6"/>
  <c r="U73" i="6" s="1"/>
  <c r="O357" i="6"/>
  <c r="U306" i="7"/>
  <c r="T306" i="7"/>
  <c r="P337" i="7"/>
  <c r="S267" i="7"/>
  <c r="U267" i="7" s="1"/>
  <c r="T269" i="7"/>
  <c r="R174" i="7"/>
  <c r="U174" i="7" s="1"/>
  <c r="U269" i="7"/>
  <c r="S21" i="7"/>
  <c r="S19" i="7" s="1"/>
  <c r="S22" i="7"/>
  <c r="U22" i="7" s="1"/>
  <c r="L174" i="7"/>
  <c r="O174" i="7" s="1"/>
  <c r="T20" i="7"/>
  <c r="M25" i="7"/>
  <c r="P25" i="7" s="1"/>
  <c r="P27" i="7"/>
  <c r="P120" i="7"/>
  <c r="M118" i="7"/>
  <c r="P118" i="7" s="1"/>
  <c r="L187" i="5"/>
  <c r="O187" i="5" s="1"/>
  <c r="P336" i="5"/>
  <c r="U307" i="5"/>
  <c r="O176" i="5"/>
  <c r="U729" i="5"/>
  <c r="R95" i="5"/>
  <c r="U95" i="5" s="1"/>
  <c r="O158" i="5"/>
  <c r="Q414" i="7"/>
  <c r="T414" i="7" s="1"/>
  <c r="M304" i="7"/>
  <c r="P304" i="7" s="1"/>
  <c r="L158" i="7"/>
  <c r="O158" i="7" s="1"/>
  <c r="O160" i="7"/>
  <c r="P269" i="6"/>
  <c r="P75" i="7"/>
  <c r="M73" i="7"/>
  <c r="P73" i="7" s="1"/>
  <c r="K243" i="7"/>
  <c r="I232" i="7"/>
  <c r="T189" i="7"/>
  <c r="Q187" i="7"/>
  <c r="T187" i="7" s="1"/>
  <c r="P62" i="7"/>
  <c r="M60" i="7"/>
  <c r="P60" i="7" s="1"/>
  <c r="S95" i="7"/>
  <c r="T95" i="7" s="1"/>
  <c r="P45" i="7"/>
  <c r="R376" i="3"/>
  <c r="U376" i="3" s="1"/>
  <c r="K702" i="6"/>
  <c r="R760" i="6"/>
  <c r="U760" i="6" s="1"/>
  <c r="P283" i="6"/>
  <c r="P189" i="6"/>
  <c r="L514" i="7"/>
  <c r="O514" i="7" s="1"/>
  <c r="O516" i="7"/>
  <c r="K84" i="7"/>
  <c r="I72" i="7"/>
  <c r="K72" i="7" s="1"/>
  <c r="L60" i="7"/>
  <c r="O60" i="7" s="1"/>
  <c r="L187" i="7"/>
  <c r="R158" i="7"/>
  <c r="U158" i="7" s="1"/>
  <c r="U160" i="7"/>
  <c r="U97" i="7"/>
  <c r="P187" i="6"/>
  <c r="M514" i="6"/>
  <c r="P514" i="6" s="1"/>
  <c r="U694" i="7"/>
  <c r="T694" i="7"/>
  <c r="U731" i="7"/>
  <c r="S729" i="7"/>
  <c r="O359" i="7"/>
  <c r="L357" i="7"/>
  <c r="O357" i="7" s="1"/>
  <c r="U120" i="7"/>
  <c r="R118" i="7"/>
  <c r="U118" i="7" s="1"/>
  <c r="L25" i="7"/>
  <c r="O25" i="7" s="1"/>
  <c r="O24" i="7"/>
  <c r="L21" i="7"/>
  <c r="L22" i="7"/>
  <c r="O22" i="7" s="1"/>
  <c r="T376" i="3"/>
  <c r="P174" i="5"/>
  <c r="P176" i="5"/>
  <c r="P190" i="5"/>
  <c r="L267" i="6"/>
  <c r="O267" i="6" s="1"/>
  <c r="M45" i="6"/>
  <c r="P45" i="6" s="1"/>
  <c r="L321" i="6"/>
  <c r="O321" i="6" s="1"/>
  <c r="P142" i="6"/>
  <c r="R414" i="6"/>
  <c r="U414" i="6" s="1"/>
  <c r="O187" i="6"/>
  <c r="P334" i="6"/>
  <c r="R174" i="6"/>
  <c r="U174" i="6" s="1"/>
  <c r="O285" i="5"/>
  <c r="R21" i="5"/>
  <c r="R19" i="5" s="1"/>
  <c r="Q376" i="6"/>
  <c r="T376" i="6" s="1"/>
  <c r="P75" i="4"/>
  <c r="U22" i="5"/>
  <c r="M25" i="6"/>
  <c r="P25" i="6" s="1"/>
  <c r="T619" i="6"/>
  <c r="M158" i="5"/>
  <c r="P158" i="5" s="1"/>
  <c r="U98" i="6"/>
  <c r="T307" i="6"/>
  <c r="O190" i="6"/>
  <c r="R187" i="6"/>
  <c r="U187" i="6" s="1"/>
  <c r="I71" i="6"/>
  <c r="K71" i="6" s="1"/>
  <c r="K83" i="6"/>
  <c r="U304" i="3"/>
  <c r="T304" i="3"/>
  <c r="L267" i="4"/>
  <c r="O267" i="4" s="1"/>
  <c r="Q95" i="5"/>
  <c r="T95" i="5" s="1"/>
  <c r="T189" i="5"/>
  <c r="Q617" i="6"/>
  <c r="T617" i="6" s="1"/>
  <c r="Q691" i="6"/>
  <c r="T691" i="6" s="1"/>
  <c r="I232" i="6"/>
  <c r="K232" i="6" s="1"/>
  <c r="O306" i="6"/>
  <c r="L304" i="6"/>
  <c r="O304" i="6" s="1"/>
  <c r="L95" i="6"/>
  <c r="O95" i="6" s="1"/>
  <c r="O97" i="6"/>
  <c r="N22" i="6"/>
  <c r="O22" i="6" s="1"/>
  <c r="N21" i="6"/>
  <c r="N19" i="6" s="1"/>
  <c r="O75" i="6"/>
  <c r="N73" i="6"/>
  <c r="P73" i="6" s="1"/>
  <c r="O187" i="3"/>
  <c r="Q643" i="4"/>
  <c r="T643" i="4" s="1"/>
  <c r="S267" i="5"/>
  <c r="U267" i="5" s="1"/>
  <c r="T731" i="6"/>
  <c r="P97" i="6"/>
  <c r="U694" i="6"/>
  <c r="L95" i="4"/>
  <c r="O95" i="4" s="1"/>
  <c r="T378" i="5"/>
  <c r="O177" i="5"/>
  <c r="U619" i="6"/>
  <c r="T142" i="6"/>
  <c r="Q140" i="6"/>
  <c r="T140" i="6" s="1"/>
  <c r="O244" i="6"/>
  <c r="L233" i="6"/>
  <c r="Q21" i="6"/>
  <c r="T24" i="6"/>
  <c r="Q22" i="6"/>
  <c r="M21" i="6"/>
  <c r="P24" i="6"/>
  <c r="U97" i="6"/>
  <c r="T97" i="6"/>
  <c r="O142" i="6"/>
  <c r="L140" i="6"/>
  <c r="O140" i="6" s="1"/>
  <c r="S118" i="3"/>
  <c r="T118" i="3" s="1"/>
  <c r="Q414" i="4"/>
  <c r="T414" i="4" s="1"/>
  <c r="M118" i="5"/>
  <c r="P118" i="5" s="1"/>
  <c r="U95" i="4"/>
  <c r="L283" i="6"/>
  <c r="O283" i="6" s="1"/>
  <c r="O285" i="6"/>
  <c r="M22" i="6"/>
  <c r="U121" i="5"/>
  <c r="U731" i="6"/>
  <c r="T729" i="6"/>
  <c r="L334" i="6"/>
  <c r="O334" i="6" s="1"/>
  <c r="S95" i="6"/>
  <c r="U95" i="6" s="1"/>
  <c r="M60" i="6"/>
  <c r="P60" i="6" s="1"/>
  <c r="L25" i="6"/>
  <c r="O25" i="6" s="1"/>
  <c r="R21" i="6"/>
  <c r="U24" i="6"/>
  <c r="R158" i="6"/>
  <c r="U158" i="6" s="1"/>
  <c r="Q643" i="6"/>
  <c r="T643" i="6" s="1"/>
  <c r="U267" i="6"/>
  <c r="U76" i="6"/>
  <c r="T76" i="6"/>
  <c r="L45" i="6"/>
  <c r="O47" i="6"/>
  <c r="U270" i="6"/>
  <c r="T270" i="6"/>
  <c r="S22" i="6"/>
  <c r="U22" i="6" s="1"/>
  <c r="R140" i="6"/>
  <c r="U140" i="6" s="1"/>
  <c r="U142" i="6"/>
  <c r="M118" i="2"/>
  <c r="P118" i="2" s="1"/>
  <c r="K702" i="4"/>
  <c r="M283" i="5"/>
  <c r="P283" i="5" s="1"/>
  <c r="M95" i="5"/>
  <c r="P95" i="5" s="1"/>
  <c r="U118" i="4"/>
  <c r="R617" i="6"/>
  <c r="U617" i="6" s="1"/>
  <c r="M95" i="6"/>
  <c r="P95" i="6" s="1"/>
  <c r="L21" i="6"/>
  <c r="O24" i="6"/>
  <c r="U118" i="5"/>
  <c r="O516" i="6"/>
  <c r="L514" i="6"/>
  <c r="O514" i="6" s="1"/>
  <c r="K84" i="6"/>
  <c r="I72" i="6"/>
  <c r="K72" i="6" s="1"/>
  <c r="M357" i="6"/>
  <c r="P357" i="6" s="1"/>
  <c r="O62" i="6"/>
  <c r="L60" i="6"/>
  <c r="O60" i="6" s="1"/>
  <c r="P304" i="3"/>
  <c r="R617" i="4"/>
  <c r="U617" i="4" s="1"/>
  <c r="S187" i="4"/>
  <c r="U187" i="4" s="1"/>
  <c r="P24" i="5"/>
  <c r="U120" i="4"/>
  <c r="I72" i="4"/>
  <c r="K72" i="4" s="1"/>
  <c r="U142" i="4"/>
  <c r="P75" i="5"/>
  <c r="P22" i="5"/>
  <c r="U120" i="5"/>
  <c r="O187" i="4"/>
  <c r="R376" i="5"/>
  <c r="U376" i="5" s="1"/>
  <c r="O62" i="5"/>
  <c r="S304" i="5"/>
  <c r="T304" i="5" s="1"/>
  <c r="S187" i="5"/>
  <c r="T187" i="5" s="1"/>
  <c r="O176" i="1"/>
  <c r="Q617" i="4"/>
  <c r="T617" i="4" s="1"/>
  <c r="N73" i="4"/>
  <c r="P73" i="4" s="1"/>
  <c r="P360" i="4"/>
  <c r="P336" i="4"/>
  <c r="O48" i="5"/>
  <c r="U189" i="5"/>
  <c r="O190" i="5"/>
  <c r="U73" i="3"/>
  <c r="P176" i="3"/>
  <c r="T189" i="4"/>
  <c r="R691" i="5"/>
  <c r="U691" i="5" s="1"/>
  <c r="Q691" i="5"/>
  <c r="T691" i="5" s="1"/>
  <c r="K375" i="5"/>
  <c r="L233" i="5"/>
  <c r="R73" i="5"/>
  <c r="U73" i="5" s="1"/>
  <c r="U731" i="5"/>
  <c r="O359" i="5"/>
  <c r="L357" i="5"/>
  <c r="O357" i="5" s="1"/>
  <c r="L95" i="3"/>
  <c r="O95" i="3" s="1"/>
  <c r="T97" i="4"/>
  <c r="M283" i="4"/>
  <c r="P283" i="4" s="1"/>
  <c r="M187" i="5"/>
  <c r="P187" i="5" s="1"/>
  <c r="M25" i="5"/>
  <c r="P25" i="5" s="1"/>
  <c r="M21" i="5"/>
  <c r="M19" i="5" s="1"/>
  <c r="Q643" i="2"/>
  <c r="T643" i="2" s="1"/>
  <c r="L158" i="2"/>
  <c r="O158" i="2" s="1"/>
  <c r="Q158" i="2"/>
  <c r="T158" i="2" s="1"/>
  <c r="O334" i="3"/>
  <c r="T691" i="4"/>
  <c r="R643" i="5"/>
  <c r="U643" i="5" s="1"/>
  <c r="Q414" i="5"/>
  <c r="T414" i="5" s="1"/>
  <c r="M140" i="5"/>
  <c r="P140" i="5" s="1"/>
  <c r="I72" i="5"/>
  <c r="K72" i="5" s="1"/>
  <c r="Q22" i="5"/>
  <c r="T22" i="5" s="1"/>
  <c r="T304" i="4"/>
  <c r="T269" i="4"/>
  <c r="K375" i="4"/>
  <c r="Q158" i="4"/>
  <c r="T158" i="4" s="1"/>
  <c r="L174" i="5"/>
  <c r="O174" i="5" s="1"/>
  <c r="O516" i="3"/>
  <c r="L321" i="4"/>
  <c r="O321" i="4" s="1"/>
  <c r="Q760" i="5"/>
  <c r="T760" i="5" s="1"/>
  <c r="P27" i="5"/>
  <c r="R158" i="5"/>
  <c r="U158" i="5" s="1"/>
  <c r="T120" i="5"/>
  <c r="O304" i="3"/>
  <c r="L267" i="5"/>
  <c r="O267" i="5" s="1"/>
  <c r="O47" i="5"/>
  <c r="T176" i="5"/>
  <c r="Q174" i="5"/>
  <c r="T174" i="5" s="1"/>
  <c r="T118" i="5"/>
  <c r="L118" i="5"/>
  <c r="O118" i="5" s="1"/>
  <c r="T160" i="5"/>
  <c r="Q158" i="5"/>
  <c r="T158" i="5" s="1"/>
  <c r="T496" i="5"/>
  <c r="Q494" i="5"/>
  <c r="T494" i="5" s="1"/>
  <c r="Q617" i="5"/>
  <c r="T617" i="5" s="1"/>
  <c r="O323" i="5"/>
  <c r="L321" i="5"/>
  <c r="O321" i="5" s="1"/>
  <c r="O304" i="5"/>
  <c r="N267" i="5"/>
  <c r="P267" i="5" s="1"/>
  <c r="P269" i="5"/>
  <c r="P47" i="5"/>
  <c r="M45" i="5"/>
  <c r="R140" i="3"/>
  <c r="U140" i="3" s="1"/>
  <c r="U729" i="4"/>
  <c r="U97" i="4"/>
  <c r="P62" i="4"/>
  <c r="O516" i="5"/>
  <c r="L514" i="5"/>
  <c r="O514" i="5" s="1"/>
  <c r="R494" i="5"/>
  <c r="U494" i="5" s="1"/>
  <c r="U496" i="5"/>
  <c r="Q376" i="5"/>
  <c r="T376" i="5" s="1"/>
  <c r="O283" i="5"/>
  <c r="M514" i="5"/>
  <c r="P514" i="5" s="1"/>
  <c r="K243" i="5"/>
  <c r="I232" i="5"/>
  <c r="P20" i="5"/>
  <c r="T306" i="3"/>
  <c r="O176" i="4"/>
  <c r="P306" i="5"/>
  <c r="P359" i="5"/>
  <c r="M357" i="5"/>
  <c r="P357" i="5" s="1"/>
  <c r="U306" i="5"/>
  <c r="R304" i="5"/>
  <c r="O45" i="5"/>
  <c r="N21" i="5"/>
  <c r="N60" i="5"/>
  <c r="T732" i="3"/>
  <c r="O306" i="5"/>
  <c r="M304" i="5"/>
  <c r="P304" i="5" s="1"/>
  <c r="L25" i="5"/>
  <c r="O25" i="5" s="1"/>
  <c r="O27" i="5"/>
  <c r="I413" i="2"/>
  <c r="K413" i="2" s="1"/>
  <c r="U620" i="3"/>
  <c r="P62" i="3"/>
  <c r="U270" i="4"/>
  <c r="L174" i="4"/>
  <c r="O174" i="4" s="1"/>
  <c r="O336" i="4"/>
  <c r="Q643" i="5"/>
  <c r="T643" i="5" s="1"/>
  <c r="R617" i="5"/>
  <c r="U617" i="5" s="1"/>
  <c r="R414" i="5"/>
  <c r="U414" i="5" s="1"/>
  <c r="L95" i="5"/>
  <c r="O95" i="5" s="1"/>
  <c r="L140" i="5"/>
  <c r="O140" i="5" s="1"/>
  <c r="O142" i="5"/>
  <c r="S21" i="5"/>
  <c r="U24" i="5"/>
  <c r="U269" i="5"/>
  <c r="P62" i="5"/>
  <c r="M60" i="5"/>
  <c r="Q73" i="5"/>
  <c r="T73" i="5" s="1"/>
  <c r="P142" i="3"/>
  <c r="L334" i="5"/>
  <c r="O334" i="5" s="1"/>
  <c r="O75" i="5"/>
  <c r="L73" i="5"/>
  <c r="O73" i="5" s="1"/>
  <c r="O307" i="5"/>
  <c r="L21" i="5"/>
  <c r="O24" i="5"/>
  <c r="L22" i="5"/>
  <c r="O22" i="5" s="1"/>
  <c r="S21" i="2"/>
  <c r="S19" i="2" s="1"/>
  <c r="U307" i="3"/>
  <c r="P22" i="3"/>
  <c r="Q140" i="3"/>
  <c r="T140" i="3" s="1"/>
  <c r="P334" i="3"/>
  <c r="P306" i="3"/>
  <c r="U691" i="4"/>
  <c r="Q760" i="4"/>
  <c r="T760" i="4" s="1"/>
  <c r="L25" i="4"/>
  <c r="O25" i="4" s="1"/>
  <c r="T693" i="4"/>
  <c r="O190" i="4"/>
  <c r="O142" i="4"/>
  <c r="U694" i="4"/>
  <c r="O176" i="3"/>
  <c r="U760" i="3"/>
  <c r="N140" i="4"/>
  <c r="O140" i="4" s="1"/>
  <c r="U187" i="3"/>
  <c r="M158" i="4"/>
  <c r="P158" i="4" s="1"/>
  <c r="P160" i="4"/>
  <c r="K243" i="4"/>
  <c r="I232" i="4"/>
  <c r="U762" i="2"/>
  <c r="K375" i="2"/>
  <c r="P336" i="3"/>
  <c r="P189" i="3"/>
  <c r="U763" i="3"/>
  <c r="U75" i="3"/>
  <c r="U693" i="3"/>
  <c r="U732" i="4"/>
  <c r="Q73" i="4"/>
  <c r="T73" i="4" s="1"/>
  <c r="P187" i="3"/>
  <c r="R414" i="2"/>
  <c r="U414" i="2" s="1"/>
  <c r="O323" i="3"/>
  <c r="T379" i="3"/>
  <c r="O336" i="3"/>
  <c r="O27" i="3"/>
  <c r="U189" i="3"/>
  <c r="U693" i="4"/>
  <c r="R376" i="4"/>
  <c r="U376" i="4" s="1"/>
  <c r="Q140" i="4"/>
  <c r="T140" i="4" s="1"/>
  <c r="T142" i="4"/>
  <c r="U619" i="2"/>
  <c r="P176" i="4"/>
  <c r="M174" i="4"/>
  <c r="P174" i="4" s="1"/>
  <c r="P142" i="1"/>
  <c r="O142" i="1"/>
  <c r="K702" i="2"/>
  <c r="K375" i="3"/>
  <c r="N174" i="3"/>
  <c r="O174" i="3" s="1"/>
  <c r="M118" i="3"/>
  <c r="P118" i="3" s="1"/>
  <c r="L514" i="4"/>
  <c r="O514" i="4" s="1"/>
  <c r="M514" i="4"/>
  <c r="P514" i="4" s="1"/>
  <c r="T267" i="4"/>
  <c r="P142" i="4"/>
  <c r="T120" i="4"/>
  <c r="Q118" i="4"/>
  <c r="T118" i="4" s="1"/>
  <c r="T763" i="4"/>
  <c r="N60" i="4"/>
  <c r="P60" i="4" s="1"/>
  <c r="M118" i="4"/>
  <c r="P118" i="4" s="1"/>
  <c r="P120" i="4"/>
  <c r="U416" i="3"/>
  <c r="R414" i="3"/>
  <c r="U414" i="3" s="1"/>
  <c r="P24" i="4"/>
  <c r="M21" i="4"/>
  <c r="M22" i="4"/>
  <c r="P22" i="4" s="1"/>
  <c r="R617" i="2"/>
  <c r="U617" i="2" s="1"/>
  <c r="T693" i="3"/>
  <c r="P269" i="3"/>
  <c r="U269" i="3"/>
  <c r="I232" i="3"/>
  <c r="K232" i="3" s="1"/>
  <c r="T731" i="4"/>
  <c r="P270" i="4"/>
  <c r="M140" i="4"/>
  <c r="O75" i="4"/>
  <c r="L73" i="4"/>
  <c r="O73" i="4" s="1"/>
  <c r="N304" i="4"/>
  <c r="O306" i="4"/>
  <c r="T729" i="4"/>
  <c r="P20" i="4"/>
  <c r="L283" i="4"/>
  <c r="O283" i="4" s="1"/>
  <c r="L357" i="4"/>
  <c r="O357" i="4" s="1"/>
  <c r="O359" i="4"/>
  <c r="K83" i="4"/>
  <c r="I71" i="4"/>
  <c r="K71" i="4" s="1"/>
  <c r="P187" i="4"/>
  <c r="O62" i="4"/>
  <c r="L60" i="4"/>
  <c r="T24" i="4"/>
  <c r="Q21" i="4"/>
  <c r="M25" i="4"/>
  <c r="P25" i="4" s="1"/>
  <c r="Q174" i="2"/>
  <c r="T174" i="2" s="1"/>
  <c r="U691" i="3"/>
  <c r="P267" i="3"/>
  <c r="U693" i="2"/>
  <c r="I71" i="3"/>
  <c r="K71" i="3" s="1"/>
  <c r="T76" i="3"/>
  <c r="O189" i="4"/>
  <c r="P189" i="4"/>
  <c r="O244" i="4"/>
  <c r="L233" i="4"/>
  <c r="N21" i="4"/>
  <c r="N19" i="4" s="1"/>
  <c r="N25" i="4"/>
  <c r="U731" i="4"/>
  <c r="O47" i="4"/>
  <c r="L45" i="4"/>
  <c r="T307" i="4"/>
  <c r="P97" i="4"/>
  <c r="M95" i="4"/>
  <c r="P95" i="4" s="1"/>
  <c r="Q22" i="4"/>
  <c r="M25" i="3"/>
  <c r="P25" i="3" s="1"/>
  <c r="O189" i="3"/>
  <c r="T694" i="3"/>
  <c r="U304" i="4"/>
  <c r="P359" i="4"/>
  <c r="M357" i="4"/>
  <c r="P357" i="4" s="1"/>
  <c r="U306" i="4"/>
  <c r="T306" i="4"/>
  <c r="Q95" i="4"/>
  <c r="T95" i="4" s="1"/>
  <c r="R22" i="4"/>
  <c r="U24" i="4"/>
  <c r="R21" i="4"/>
  <c r="T617" i="2"/>
  <c r="T619" i="2"/>
  <c r="U732" i="2"/>
  <c r="M267" i="4"/>
  <c r="P267" i="4" s="1"/>
  <c r="P269" i="4"/>
  <c r="S21" i="4"/>
  <c r="S19" i="4" s="1"/>
  <c r="S22" i="4"/>
  <c r="P47" i="4"/>
  <c r="M45" i="4"/>
  <c r="L22" i="4"/>
  <c r="O22" i="4" s="1"/>
  <c r="O24" i="4"/>
  <c r="L21" i="4"/>
  <c r="P97" i="3"/>
  <c r="M95" i="3"/>
  <c r="P95" i="3" s="1"/>
  <c r="L118" i="4"/>
  <c r="O118" i="4" s="1"/>
  <c r="O120" i="4"/>
  <c r="T120" i="3"/>
  <c r="T270" i="2"/>
  <c r="U24" i="2"/>
  <c r="T729" i="3"/>
  <c r="L233" i="3"/>
  <c r="P75" i="3"/>
  <c r="T189" i="3"/>
  <c r="M321" i="3"/>
  <c r="P321" i="3" s="1"/>
  <c r="O306" i="3"/>
  <c r="K84" i="3"/>
  <c r="I72" i="3"/>
  <c r="K72" i="3" s="1"/>
  <c r="O306" i="2"/>
  <c r="P47" i="2"/>
  <c r="M140" i="3"/>
  <c r="P140" i="3" s="1"/>
  <c r="T160" i="3"/>
  <c r="Q158" i="3"/>
  <c r="T158" i="3" s="1"/>
  <c r="L118" i="3"/>
  <c r="O118" i="3" s="1"/>
  <c r="L21" i="3"/>
  <c r="L19" i="3" s="1"/>
  <c r="T693" i="2"/>
  <c r="R158" i="2"/>
  <c r="U158" i="2" s="1"/>
  <c r="U691" i="2"/>
  <c r="T691" i="2"/>
  <c r="T691" i="3"/>
  <c r="L267" i="3"/>
  <c r="O267" i="3" s="1"/>
  <c r="T729" i="2"/>
  <c r="K424" i="1"/>
  <c r="T731" i="2"/>
  <c r="T620" i="2"/>
  <c r="P177" i="2"/>
  <c r="O47" i="2"/>
  <c r="T307" i="2"/>
  <c r="U762" i="3"/>
  <c r="Q617" i="3"/>
  <c r="T617" i="3" s="1"/>
  <c r="T731" i="3"/>
  <c r="T187" i="3"/>
  <c r="N21" i="3"/>
  <c r="N19" i="3" s="1"/>
  <c r="O24" i="3"/>
  <c r="P190" i="3"/>
  <c r="L73" i="3"/>
  <c r="O73" i="3" s="1"/>
  <c r="O75" i="3"/>
  <c r="T121" i="2"/>
  <c r="Q414" i="3"/>
  <c r="T414" i="3" s="1"/>
  <c r="T269" i="3"/>
  <c r="P73" i="3"/>
  <c r="Q760" i="3"/>
  <c r="T760" i="3" s="1"/>
  <c r="T762" i="3"/>
  <c r="Q174" i="3"/>
  <c r="T174" i="3" s="1"/>
  <c r="T176" i="3"/>
  <c r="Q494" i="3"/>
  <c r="T494" i="3" s="1"/>
  <c r="T496" i="3"/>
  <c r="P47" i="3"/>
  <c r="M45" i="2"/>
  <c r="P45" i="2" s="1"/>
  <c r="L73" i="2"/>
  <c r="O73" i="2" s="1"/>
  <c r="T763" i="2"/>
  <c r="K702" i="3"/>
  <c r="R267" i="3"/>
  <c r="U267" i="3" s="1"/>
  <c r="R174" i="2"/>
  <c r="U174" i="2" s="1"/>
  <c r="U120" i="2"/>
  <c r="T73" i="3"/>
  <c r="O22" i="3"/>
  <c r="P283" i="3"/>
  <c r="R158" i="3"/>
  <c r="U158" i="3" s="1"/>
  <c r="P160" i="3"/>
  <c r="N158" i="3"/>
  <c r="P158" i="3" s="1"/>
  <c r="N60" i="3"/>
  <c r="O285" i="3"/>
  <c r="O142" i="3"/>
  <c r="L140" i="3"/>
  <c r="O140" i="3" s="1"/>
  <c r="O161" i="3"/>
  <c r="Q494" i="1"/>
  <c r="M73" i="2"/>
  <c r="P73" i="2" s="1"/>
  <c r="M514" i="3"/>
  <c r="P514" i="3" s="1"/>
  <c r="T620" i="3"/>
  <c r="L357" i="3"/>
  <c r="O357" i="3" s="1"/>
  <c r="O359" i="3"/>
  <c r="T307" i="3"/>
  <c r="S22" i="3"/>
  <c r="S760" i="1"/>
  <c r="P359" i="3"/>
  <c r="M357" i="3"/>
  <c r="P357" i="3" s="1"/>
  <c r="K424" i="3"/>
  <c r="I413" i="3"/>
  <c r="K413" i="3" s="1"/>
  <c r="I186" i="3"/>
  <c r="K186" i="3" s="1"/>
  <c r="P285" i="3"/>
  <c r="M21" i="3"/>
  <c r="P24" i="3"/>
  <c r="U731" i="3"/>
  <c r="R729" i="3"/>
  <c r="U729" i="3" s="1"/>
  <c r="I232" i="2"/>
  <c r="K232" i="2" s="1"/>
  <c r="O283" i="3"/>
  <c r="T24" i="3"/>
  <c r="Q21" i="3"/>
  <c r="Q22" i="3"/>
  <c r="O47" i="3"/>
  <c r="L45" i="3"/>
  <c r="U762" i="1"/>
  <c r="O62" i="3"/>
  <c r="L60" i="3"/>
  <c r="T267" i="3"/>
  <c r="U24" i="3"/>
  <c r="R21" i="3"/>
  <c r="R22" i="3"/>
  <c r="O160" i="3"/>
  <c r="P45" i="3"/>
  <c r="U189" i="2"/>
  <c r="O176" i="2"/>
  <c r="P269" i="2"/>
  <c r="O174" i="2"/>
  <c r="R494" i="2"/>
  <c r="U494" i="2" s="1"/>
  <c r="P176" i="2"/>
  <c r="Q73" i="2"/>
  <c r="T73" i="2" s="1"/>
  <c r="O285" i="2"/>
  <c r="P189" i="2"/>
  <c r="L118" i="2"/>
  <c r="O118" i="2" s="1"/>
  <c r="U307" i="2"/>
  <c r="T189" i="2"/>
  <c r="Q187" i="2"/>
  <c r="T187" i="2" s="1"/>
  <c r="U763" i="2"/>
  <c r="M95" i="2"/>
  <c r="P95" i="2" s="1"/>
  <c r="T24" i="2"/>
  <c r="Q22" i="2"/>
  <c r="T22" i="2" s="1"/>
  <c r="Q21" i="2"/>
  <c r="T646" i="2"/>
  <c r="M25" i="2"/>
  <c r="P25" i="2" s="1"/>
  <c r="U378" i="2"/>
  <c r="R376" i="2"/>
  <c r="U376" i="2" s="1"/>
  <c r="R22" i="2"/>
  <c r="U22" i="2" s="1"/>
  <c r="R21" i="2"/>
  <c r="R19" i="2" s="1"/>
  <c r="L357" i="2"/>
  <c r="O357" i="2" s="1"/>
  <c r="O304" i="2"/>
  <c r="R118" i="2"/>
  <c r="U118" i="2" s="1"/>
  <c r="O187" i="2"/>
  <c r="P336" i="2"/>
  <c r="M334" i="2"/>
  <c r="P334" i="2" s="1"/>
  <c r="Q95" i="2"/>
  <c r="T95" i="2" s="1"/>
  <c r="T97" i="2"/>
  <c r="M21" i="2"/>
  <c r="P24" i="2"/>
  <c r="Q376" i="2"/>
  <c r="T376" i="2" s="1"/>
  <c r="T378" i="2"/>
  <c r="M304" i="2"/>
  <c r="P304" i="2" s="1"/>
  <c r="P306" i="2"/>
  <c r="P187" i="2"/>
  <c r="N22" i="2"/>
  <c r="O22" i="2" s="1"/>
  <c r="O24" i="2"/>
  <c r="N21" i="2"/>
  <c r="N19" i="2" s="1"/>
  <c r="Q118" i="2"/>
  <c r="T118" i="2" s="1"/>
  <c r="T120" i="2"/>
  <c r="U269" i="2"/>
  <c r="I71" i="2"/>
  <c r="K71" i="2" s="1"/>
  <c r="K83" i="2"/>
  <c r="O255" i="2"/>
  <c r="L233" i="2"/>
  <c r="P62" i="2"/>
  <c r="M60" i="2"/>
  <c r="P60" i="2" s="1"/>
  <c r="L140" i="2"/>
  <c r="O140" i="2" s="1"/>
  <c r="O142" i="2"/>
  <c r="S267" i="2"/>
  <c r="U267" i="2" s="1"/>
  <c r="O97" i="2"/>
  <c r="L95" i="2"/>
  <c r="O95" i="2" s="1"/>
  <c r="U731" i="2"/>
  <c r="R729" i="2"/>
  <c r="U729" i="2" s="1"/>
  <c r="O516" i="2"/>
  <c r="L514" i="2"/>
  <c r="O514" i="2" s="1"/>
  <c r="M174" i="2"/>
  <c r="P174" i="2" s="1"/>
  <c r="O45" i="2"/>
  <c r="M283" i="2"/>
  <c r="P283" i="2" s="1"/>
  <c r="P285" i="2"/>
  <c r="L267" i="2"/>
  <c r="O267" i="2" s="1"/>
  <c r="N41" i="2"/>
  <c r="P323" i="2"/>
  <c r="M321" i="2"/>
  <c r="P321" i="2" s="1"/>
  <c r="O360" i="2"/>
  <c r="L21" i="2"/>
  <c r="L25" i="2"/>
  <c r="O25" i="2" s="1"/>
  <c r="O27" i="2"/>
  <c r="O189" i="2"/>
  <c r="O62" i="2"/>
  <c r="T190" i="2"/>
  <c r="M514" i="2"/>
  <c r="P514" i="2" s="1"/>
  <c r="Q414" i="2"/>
  <c r="T414" i="2" s="1"/>
  <c r="M357" i="2"/>
  <c r="P357" i="2" s="1"/>
  <c r="L334" i="2"/>
  <c r="O334" i="2" s="1"/>
  <c r="O336" i="2"/>
  <c r="R140" i="2"/>
  <c r="U140" i="2" s="1"/>
  <c r="U142" i="2"/>
  <c r="O323" i="2"/>
  <c r="L321" i="2"/>
  <c r="O321" i="2" s="1"/>
  <c r="M140" i="2"/>
  <c r="P140" i="2" s="1"/>
  <c r="L60" i="2"/>
  <c r="O60" i="2" s="1"/>
  <c r="S304" i="2"/>
  <c r="U304" i="2" s="1"/>
  <c r="T306" i="2"/>
  <c r="K84" i="2"/>
  <c r="I72" i="2"/>
  <c r="K72" i="2" s="1"/>
  <c r="M158" i="2"/>
  <c r="P158" i="2" s="1"/>
  <c r="T646" i="1"/>
  <c r="U646" i="1"/>
  <c r="P269" i="1"/>
  <c r="T120" i="1"/>
  <c r="P97" i="1"/>
  <c r="S118" i="1"/>
  <c r="Q267" i="1"/>
  <c r="P177" i="1"/>
  <c r="S357" i="1"/>
  <c r="Q357" i="1"/>
  <c r="T357" i="1" s="1"/>
  <c r="P63" i="1"/>
  <c r="O63" i="1"/>
  <c r="N118" i="1"/>
  <c r="O189" i="1"/>
  <c r="S283" i="1"/>
  <c r="M140" i="1"/>
  <c r="P189" i="1"/>
  <c r="R22" i="1"/>
  <c r="K633" i="1"/>
  <c r="K627" i="1"/>
  <c r="N304" i="1"/>
  <c r="U645" i="1"/>
  <c r="M535" i="1"/>
  <c r="P535" i="1" s="1"/>
  <c r="P359" i="1"/>
  <c r="N376" i="1"/>
  <c r="O177" i="1"/>
  <c r="L729" i="1"/>
  <c r="O729" i="1" s="1"/>
  <c r="K333" i="1"/>
  <c r="N514" i="1"/>
  <c r="T359" i="1"/>
  <c r="U619" i="1"/>
  <c r="T98" i="1"/>
  <c r="K616" i="1"/>
  <c r="Q729" i="1"/>
  <c r="J458" i="1"/>
  <c r="J457" i="1" s="1"/>
  <c r="M414" i="1"/>
  <c r="P414" i="1" s="1"/>
  <c r="O323" i="1"/>
  <c r="M556" i="1"/>
  <c r="P556" i="1" s="1"/>
  <c r="P323" i="1"/>
  <c r="K71" i="1"/>
  <c r="K702" i="1"/>
  <c r="N617" i="1"/>
  <c r="P143" i="1"/>
  <c r="N729" i="1"/>
  <c r="S643" i="1"/>
  <c r="T76" i="1"/>
  <c r="S514" i="1"/>
  <c r="Q760" i="1"/>
  <c r="U307" i="1"/>
  <c r="T645" i="1"/>
  <c r="T269" i="1"/>
  <c r="P415" i="1"/>
  <c r="R556" i="1"/>
  <c r="U556" i="1" s="1"/>
  <c r="L556" i="1"/>
  <c r="O556" i="1" s="1"/>
  <c r="S25" i="1"/>
  <c r="R21" i="1"/>
  <c r="N357" i="1"/>
  <c r="K83" i="1"/>
  <c r="Q691" i="1"/>
  <c r="T691" i="1" s="1"/>
  <c r="O161" i="1"/>
  <c r="L760" i="1"/>
  <c r="O760" i="1" s="1"/>
  <c r="S140" i="1"/>
  <c r="O359" i="1"/>
  <c r="S21" i="1"/>
  <c r="T121" i="1"/>
  <c r="L535" i="1"/>
  <c r="O535" i="1" s="1"/>
  <c r="L304" i="1"/>
  <c r="R729" i="1"/>
  <c r="N556" i="1"/>
  <c r="O76" i="1"/>
  <c r="U190" i="1"/>
  <c r="L73" i="1"/>
  <c r="N393" i="1"/>
  <c r="S393" i="1"/>
  <c r="R283" i="1"/>
  <c r="U283" i="1" s="1"/>
  <c r="Q45" i="1"/>
  <c r="T45" i="1" s="1"/>
  <c r="P45" i="1"/>
  <c r="M60" i="1"/>
  <c r="Q643" i="1"/>
  <c r="M334" i="1"/>
  <c r="T497" i="1"/>
  <c r="P324" i="1"/>
  <c r="Q158" i="1"/>
  <c r="T158" i="1" s="1"/>
  <c r="P62" i="1"/>
  <c r="N174" i="1"/>
  <c r="R45" i="1"/>
  <c r="U45" i="1" s="1"/>
  <c r="S414" i="1"/>
  <c r="T495" i="1"/>
  <c r="O336" i="1"/>
  <c r="P270" i="1"/>
  <c r="N267" i="1"/>
  <c r="P306" i="1"/>
  <c r="Q334" i="1"/>
  <c r="T334" i="1" s="1"/>
  <c r="R73" i="1"/>
  <c r="O24" i="1"/>
  <c r="P176" i="1"/>
  <c r="M494" i="1"/>
  <c r="P494" i="1" s="1"/>
  <c r="P190" i="1"/>
  <c r="M715" i="1"/>
  <c r="P715" i="1" s="1"/>
  <c r="O536" i="1"/>
  <c r="S174" i="1"/>
  <c r="P160" i="1"/>
  <c r="T620" i="1"/>
  <c r="O306" i="1"/>
  <c r="L267" i="1"/>
  <c r="O267" i="1" s="1"/>
  <c r="R715" i="1"/>
  <c r="U715" i="1" s="1"/>
  <c r="R577" i="1"/>
  <c r="U577" i="1" s="1"/>
  <c r="Q535" i="1"/>
  <c r="T535" i="1" s="1"/>
  <c r="R304" i="1"/>
  <c r="M174" i="1"/>
  <c r="Q95" i="1"/>
  <c r="T95" i="1" s="1"/>
  <c r="P61" i="1"/>
  <c r="R393" i="1"/>
  <c r="U393" i="1" s="1"/>
  <c r="N760" i="1"/>
  <c r="S60" i="1"/>
  <c r="U76" i="1"/>
  <c r="T322" i="1"/>
  <c r="Q321" i="1"/>
  <c r="T321" i="1" s="1"/>
  <c r="T694" i="1"/>
  <c r="S158" i="1"/>
  <c r="U694" i="1"/>
  <c r="L643" i="1"/>
  <c r="O643" i="1" s="1"/>
  <c r="L715" i="1"/>
  <c r="O715" i="1" s="1"/>
  <c r="M304" i="1"/>
  <c r="U270" i="1"/>
  <c r="P98" i="1"/>
  <c r="U620" i="1"/>
  <c r="O324" i="1"/>
  <c r="R514" i="1"/>
  <c r="U514" i="1" s="1"/>
  <c r="P761" i="1"/>
  <c r="M760" i="1"/>
  <c r="P760" i="1" s="1"/>
  <c r="R760" i="1"/>
  <c r="O98" i="1"/>
  <c r="R158" i="1"/>
  <c r="U158" i="1" s="1"/>
  <c r="R535" i="1"/>
  <c r="U535" i="1" s="1"/>
  <c r="S715" i="1"/>
  <c r="T306" i="1"/>
  <c r="L21" i="1"/>
  <c r="M643" i="1"/>
  <c r="P643" i="1" s="1"/>
  <c r="N494" i="1"/>
  <c r="L494" i="1"/>
  <c r="O494" i="1" s="1"/>
  <c r="R140" i="1"/>
  <c r="U140" i="1" s="1"/>
  <c r="S187" i="1"/>
  <c r="U97" i="1"/>
  <c r="K84" i="1"/>
  <c r="I72" i="1"/>
  <c r="K72" i="1" s="1"/>
  <c r="T270" i="1"/>
  <c r="L140" i="1"/>
  <c r="N73" i="1"/>
  <c r="Q514" i="1"/>
  <c r="T514" i="1" s="1"/>
  <c r="T515" i="1"/>
  <c r="L321" i="1"/>
  <c r="O322" i="1"/>
  <c r="O284" i="1"/>
  <c r="L283" i="1"/>
  <c r="N22" i="1"/>
  <c r="N20" i="1"/>
  <c r="O360" i="1"/>
  <c r="S304" i="1"/>
  <c r="M283" i="1"/>
  <c r="Q140" i="1"/>
  <c r="T140" i="1" s="1"/>
  <c r="O160" i="1"/>
  <c r="T97" i="1"/>
  <c r="S577" i="1"/>
  <c r="Q376" i="1"/>
  <c r="T377" i="1"/>
  <c r="T176" i="1"/>
  <c r="Q174" i="1"/>
  <c r="T174" i="1" s="1"/>
  <c r="P394" i="1"/>
  <c r="M393" i="1"/>
  <c r="P393" i="1" s="1"/>
  <c r="O175" i="1"/>
  <c r="L174" i="1"/>
  <c r="P161" i="1"/>
  <c r="P76" i="1"/>
  <c r="R357" i="1"/>
  <c r="U357" i="1" s="1"/>
  <c r="M357" i="1"/>
  <c r="P358" i="1"/>
  <c r="R334" i="1"/>
  <c r="U334" i="1" s="1"/>
  <c r="M118" i="1"/>
  <c r="P118" i="1" s="1"/>
  <c r="P119" i="1"/>
  <c r="M158" i="1"/>
  <c r="R321" i="1"/>
  <c r="U321" i="1" s="1"/>
  <c r="U322" i="1"/>
  <c r="T190" i="1"/>
  <c r="Q715" i="1"/>
  <c r="T715" i="1" s="1"/>
  <c r="M600" i="1"/>
  <c r="P600" i="1" s="1"/>
  <c r="U189" i="1"/>
  <c r="O143" i="1"/>
  <c r="O75" i="1"/>
  <c r="Q118" i="1"/>
  <c r="J459" i="1"/>
  <c r="T557" i="1"/>
  <c r="Q556" i="1"/>
  <c r="T556" i="1" s="1"/>
  <c r="M514" i="1"/>
  <c r="P514" i="1" s="1"/>
  <c r="L393" i="1"/>
  <c r="O393" i="1" s="1"/>
  <c r="O394" i="1"/>
  <c r="L514" i="1"/>
  <c r="O514" i="1" s="1"/>
  <c r="U175" i="1"/>
  <c r="R174" i="1"/>
  <c r="U174" i="1" s="1"/>
  <c r="M729" i="1"/>
  <c r="P729" i="1" s="1"/>
  <c r="U121" i="1"/>
  <c r="P47" i="1"/>
  <c r="L577" i="1"/>
  <c r="O577" i="1" s="1"/>
  <c r="M577" i="1"/>
  <c r="P577" i="1" s="1"/>
  <c r="P578" i="1"/>
  <c r="Q283" i="1"/>
  <c r="T283" i="1" s="1"/>
  <c r="T415" i="1"/>
  <c r="Q414" i="1"/>
  <c r="T414" i="1" s="1"/>
  <c r="M376" i="1"/>
  <c r="P376" i="1" s="1"/>
  <c r="P378" i="1"/>
  <c r="Q617" i="1"/>
  <c r="T618" i="1"/>
  <c r="R414" i="1"/>
  <c r="U414" i="1" s="1"/>
  <c r="U415" i="1"/>
  <c r="U188" i="1"/>
  <c r="R187" i="1"/>
  <c r="O62" i="1"/>
  <c r="L187" i="1"/>
  <c r="O188" i="1"/>
  <c r="T75" i="1"/>
  <c r="Q73" i="1"/>
  <c r="T23" i="1"/>
  <c r="Q22" i="1"/>
  <c r="Q20" i="1"/>
  <c r="M691" i="1"/>
  <c r="P691" i="1" s="1"/>
  <c r="P693" i="1"/>
  <c r="L617" i="1"/>
  <c r="O617" i="1" s="1"/>
  <c r="O618" i="1"/>
  <c r="R643" i="1"/>
  <c r="U497" i="1"/>
  <c r="S617" i="1"/>
  <c r="R600" i="1"/>
  <c r="U600" i="1" s="1"/>
  <c r="O601" i="1"/>
  <c r="L600" i="1"/>
  <c r="O600" i="1" s="1"/>
  <c r="M187" i="1"/>
  <c r="T619" i="1"/>
  <c r="L60" i="1"/>
  <c r="O61" i="1"/>
  <c r="T189" i="1"/>
  <c r="S22" i="1"/>
  <c r="S20" i="1"/>
  <c r="L45" i="1"/>
  <c r="O45" i="1" s="1"/>
  <c r="O47" i="1"/>
  <c r="T62" i="1"/>
  <c r="Q60" i="1"/>
  <c r="T60" i="1" s="1"/>
  <c r="M267" i="1"/>
  <c r="U495" i="1"/>
  <c r="R494" i="1"/>
  <c r="U98" i="1"/>
  <c r="U377" i="1"/>
  <c r="R376" i="1"/>
  <c r="U376" i="1" s="1"/>
  <c r="O190" i="1"/>
  <c r="N60" i="1"/>
  <c r="R617" i="1"/>
  <c r="U618" i="1"/>
  <c r="Q393" i="1"/>
  <c r="T393" i="1" s="1"/>
  <c r="L414" i="1"/>
  <c r="O414" i="1" s="1"/>
  <c r="O415" i="1"/>
  <c r="Q187" i="1"/>
  <c r="T188" i="1"/>
  <c r="O96" i="1"/>
  <c r="L95" i="1"/>
  <c r="T305" i="1"/>
  <c r="Q304" i="1"/>
  <c r="U26" i="1"/>
  <c r="R25" i="1"/>
  <c r="U25" i="1" s="1"/>
  <c r="R20" i="1"/>
  <c r="O120" i="1"/>
  <c r="L118" i="1"/>
  <c r="O118" i="1" s="1"/>
  <c r="N25" i="1"/>
  <c r="N21" i="1"/>
  <c r="T26" i="1"/>
  <c r="Q25" i="1"/>
  <c r="T25" i="1" s="1"/>
  <c r="U692" i="1"/>
  <c r="R691" i="1"/>
  <c r="U691" i="1" s="1"/>
  <c r="R60" i="1"/>
  <c r="U60" i="1" s="1"/>
  <c r="O692" i="1"/>
  <c r="L691" i="1"/>
  <c r="O691" i="1" s="1"/>
  <c r="L357" i="1"/>
  <c r="P322" i="1"/>
  <c r="M321" i="1"/>
  <c r="R267" i="1"/>
  <c r="U269" i="1"/>
  <c r="M73" i="1"/>
  <c r="P74" i="1"/>
  <c r="T307" i="1"/>
  <c r="M25" i="1"/>
  <c r="P25" i="1" s="1"/>
  <c r="M20" i="1"/>
  <c r="P26" i="1"/>
  <c r="O23" i="1"/>
  <c r="L22" i="1"/>
  <c r="L20" i="1"/>
  <c r="O26" i="1"/>
  <c r="L25" i="1"/>
  <c r="O25" i="1" s="1"/>
  <c r="U120" i="1"/>
  <c r="R118" i="1"/>
  <c r="Q600" i="1"/>
  <c r="T600" i="1" s="1"/>
  <c r="T601" i="1"/>
  <c r="Q577" i="1"/>
  <c r="T577" i="1" s="1"/>
  <c r="T579" i="1"/>
  <c r="M617" i="1"/>
  <c r="P617" i="1" s="1"/>
  <c r="O159" i="1"/>
  <c r="L158" i="1"/>
  <c r="Q21" i="1"/>
  <c r="T24" i="1"/>
  <c r="U24" i="1"/>
  <c r="O377" i="1"/>
  <c r="L376" i="1"/>
  <c r="O376" i="1" s="1"/>
  <c r="N95" i="1"/>
  <c r="O97" i="1"/>
  <c r="M22" i="1"/>
  <c r="P24" i="1"/>
  <c r="M21" i="1"/>
  <c r="T22" i="17" l="1"/>
  <c r="T22" i="18"/>
  <c r="T21" i="16"/>
  <c r="T73" i="1"/>
  <c r="U73" i="1"/>
  <c r="T22" i="15"/>
  <c r="T19" i="14"/>
  <c r="T22" i="13"/>
  <c r="T376" i="1"/>
  <c r="T21" i="11"/>
  <c r="U729" i="1"/>
  <c r="T22" i="9"/>
  <c r="T21" i="8"/>
  <c r="T21" i="7"/>
  <c r="T22" i="7"/>
  <c r="T729" i="1"/>
  <c r="T22" i="6"/>
  <c r="O334" i="1"/>
  <c r="P321" i="1"/>
  <c r="O321" i="1"/>
  <c r="P334" i="1"/>
  <c r="T21" i="5"/>
  <c r="P95" i="1"/>
  <c r="T22" i="4"/>
  <c r="T22" i="3"/>
  <c r="O187" i="1"/>
  <c r="P187" i="1"/>
  <c r="O283" i="1"/>
  <c r="P283" i="1"/>
  <c r="O140" i="1"/>
  <c r="P140" i="1"/>
  <c r="P21" i="1"/>
  <c r="T494" i="1"/>
  <c r="U494" i="1"/>
  <c r="P174" i="16"/>
  <c r="T267" i="14"/>
  <c r="U267" i="1"/>
  <c r="T21" i="14"/>
  <c r="R19" i="13"/>
  <c r="U19" i="13" s="1"/>
  <c r="P187" i="16"/>
  <c r="O158" i="1"/>
  <c r="P140" i="18"/>
  <c r="P158" i="1"/>
  <c r="O357" i="18"/>
  <c r="O174" i="17"/>
  <c r="U22" i="18"/>
  <c r="O19" i="18"/>
  <c r="T267" i="1"/>
  <c r="O21" i="18"/>
  <c r="N41" i="18"/>
  <c r="N41" i="17"/>
  <c r="T304" i="17"/>
  <c r="T267" i="18"/>
  <c r="O158" i="13"/>
  <c r="U22" i="17"/>
  <c r="P21" i="16"/>
  <c r="O19" i="16"/>
  <c r="K232" i="18"/>
  <c r="I186" i="18"/>
  <c r="K186" i="18" s="1"/>
  <c r="T21" i="18"/>
  <c r="Q19" i="18"/>
  <c r="M19" i="18"/>
  <c r="P19" i="18" s="1"/>
  <c r="P21" i="18"/>
  <c r="S19" i="18"/>
  <c r="U19" i="18" s="1"/>
  <c r="U21" i="18"/>
  <c r="K232" i="12"/>
  <c r="O45" i="18"/>
  <c r="L41" i="18"/>
  <c r="M41" i="18"/>
  <c r="K232" i="13"/>
  <c r="T187" i="12"/>
  <c r="U691" i="17"/>
  <c r="U643" i="17"/>
  <c r="O22" i="17"/>
  <c r="N41" i="16"/>
  <c r="Q19" i="17"/>
  <c r="T19" i="17" s="1"/>
  <c r="T21" i="17"/>
  <c r="O21" i="17"/>
  <c r="L19" i="17"/>
  <c r="O19" i="17" s="1"/>
  <c r="O73" i="16"/>
  <c r="O45" i="17"/>
  <c r="L41" i="17"/>
  <c r="P45" i="17"/>
  <c r="M41" i="17"/>
  <c r="P22" i="17"/>
  <c r="U22" i="16"/>
  <c r="U21" i="17"/>
  <c r="R19" i="17"/>
  <c r="U19" i="17" s="1"/>
  <c r="P21" i="17"/>
  <c r="M19" i="17"/>
  <c r="P19" i="17" s="1"/>
  <c r="I186" i="17"/>
  <c r="K186" i="17" s="1"/>
  <c r="K232" i="17"/>
  <c r="P22" i="15"/>
  <c r="O21" i="16"/>
  <c r="U617" i="11"/>
  <c r="M19" i="16"/>
  <c r="P19" i="16" s="1"/>
  <c r="U187" i="14"/>
  <c r="L41" i="16"/>
  <c r="U21" i="16"/>
  <c r="R19" i="16"/>
  <c r="U19" i="16" s="1"/>
  <c r="P45" i="16"/>
  <c r="M41" i="16"/>
  <c r="I186" i="16"/>
  <c r="K186" i="16" s="1"/>
  <c r="K232" i="16"/>
  <c r="Q19" i="16"/>
  <c r="T19" i="16" s="1"/>
  <c r="O21" i="15"/>
  <c r="U187" i="15"/>
  <c r="P95" i="10"/>
  <c r="U187" i="13"/>
  <c r="U22" i="15"/>
  <c r="P174" i="15"/>
  <c r="U643" i="15"/>
  <c r="M41" i="15"/>
  <c r="P45" i="15"/>
  <c r="P158" i="15"/>
  <c r="O158" i="15"/>
  <c r="N41" i="15"/>
  <c r="R19" i="15"/>
  <c r="U19" i="15" s="1"/>
  <c r="U21" i="15"/>
  <c r="P22" i="14"/>
  <c r="O45" i="15"/>
  <c r="L41" i="15"/>
  <c r="T21" i="15"/>
  <c r="Q19" i="15"/>
  <c r="T19" i="15" s="1"/>
  <c r="P21" i="15"/>
  <c r="M19" i="15"/>
  <c r="P19" i="15" s="1"/>
  <c r="O19" i="15"/>
  <c r="O22" i="14"/>
  <c r="M19" i="14"/>
  <c r="P19" i="14" s="1"/>
  <c r="P21" i="14"/>
  <c r="U22" i="14"/>
  <c r="K232" i="14"/>
  <c r="I186" i="14"/>
  <c r="K186" i="14" s="1"/>
  <c r="U21" i="14"/>
  <c r="R19" i="14"/>
  <c r="U19" i="14" s="1"/>
  <c r="O21" i="14"/>
  <c r="L19" i="14"/>
  <c r="O19" i="14" s="1"/>
  <c r="P95" i="14"/>
  <c r="M41" i="14"/>
  <c r="P41" i="14" s="1"/>
  <c r="Q19" i="11"/>
  <c r="T19" i="11" s="1"/>
  <c r="L41" i="14"/>
  <c r="O41" i="14" s="1"/>
  <c r="N41" i="12"/>
  <c r="O357" i="13"/>
  <c r="U22" i="12"/>
  <c r="P19" i="13"/>
  <c r="N41" i="13"/>
  <c r="T73" i="12"/>
  <c r="U304" i="13"/>
  <c r="U267" i="13"/>
  <c r="O283" i="13"/>
  <c r="T21" i="13"/>
  <c r="Q19" i="13"/>
  <c r="T19" i="13" s="1"/>
  <c r="O22" i="13"/>
  <c r="O21" i="13"/>
  <c r="L19" i="13"/>
  <c r="O19" i="13" s="1"/>
  <c r="P21" i="13"/>
  <c r="O45" i="13"/>
  <c r="L41" i="13"/>
  <c r="U19" i="11"/>
  <c r="P45" i="13"/>
  <c r="M41" i="13"/>
  <c r="U19" i="7"/>
  <c r="P21" i="12"/>
  <c r="T267" i="5"/>
  <c r="P187" i="11"/>
  <c r="T691" i="10"/>
  <c r="P19" i="11"/>
  <c r="U95" i="11"/>
  <c r="T267" i="8"/>
  <c r="M41" i="12"/>
  <c r="U21" i="12"/>
  <c r="R19" i="12"/>
  <c r="U19" i="12" s="1"/>
  <c r="O45" i="12"/>
  <c r="L41" i="12"/>
  <c r="O187" i="11"/>
  <c r="U21" i="11"/>
  <c r="T21" i="12"/>
  <c r="Q19" i="12"/>
  <c r="T19" i="12" s="1"/>
  <c r="O22" i="12"/>
  <c r="N19" i="12"/>
  <c r="P19" i="12" s="1"/>
  <c r="O21" i="12"/>
  <c r="L19" i="12"/>
  <c r="Q19" i="5"/>
  <c r="P21" i="11"/>
  <c r="P45" i="11"/>
  <c r="M41" i="11"/>
  <c r="P41" i="11" s="1"/>
  <c r="O21" i="11"/>
  <c r="L19" i="11"/>
  <c r="O19" i="11" s="1"/>
  <c r="U304" i="9"/>
  <c r="I186" i="11"/>
  <c r="K186" i="11" s="1"/>
  <c r="K232" i="11"/>
  <c r="L41" i="11"/>
  <c r="O41" i="11" s="1"/>
  <c r="U22" i="9"/>
  <c r="T304" i="6"/>
  <c r="P21" i="9"/>
  <c r="U21" i="10"/>
  <c r="R19" i="10"/>
  <c r="U19" i="10" s="1"/>
  <c r="N41" i="9"/>
  <c r="O22" i="10"/>
  <c r="L41" i="10"/>
  <c r="O41" i="10" s="1"/>
  <c r="P45" i="10"/>
  <c r="M41" i="10"/>
  <c r="P41" i="10" s="1"/>
  <c r="P19" i="7"/>
  <c r="P21" i="7"/>
  <c r="O187" i="9"/>
  <c r="M19" i="10"/>
  <c r="P21" i="10"/>
  <c r="T21" i="10"/>
  <c r="Q19" i="10"/>
  <c r="T19" i="10" s="1"/>
  <c r="N19" i="10"/>
  <c r="O19" i="10" s="1"/>
  <c r="O21" i="10"/>
  <c r="P22" i="8"/>
  <c r="P22" i="9"/>
  <c r="O21" i="9"/>
  <c r="N19" i="9"/>
  <c r="R19" i="9"/>
  <c r="U19" i="9" s="1"/>
  <c r="U21" i="9"/>
  <c r="U73" i="8"/>
  <c r="T21" i="9"/>
  <c r="Q19" i="9"/>
  <c r="T19" i="9" s="1"/>
  <c r="K232" i="9"/>
  <c r="I186" i="9"/>
  <c r="K186" i="9" s="1"/>
  <c r="O45" i="9"/>
  <c r="L41" i="9"/>
  <c r="T118" i="8"/>
  <c r="M41" i="9"/>
  <c r="Q19" i="8"/>
  <c r="T19" i="8" s="1"/>
  <c r="O187" i="7"/>
  <c r="U22" i="8"/>
  <c r="N41" i="7"/>
  <c r="O140" i="7"/>
  <c r="O22" i="8"/>
  <c r="P283" i="8"/>
  <c r="U21" i="8"/>
  <c r="R19" i="8"/>
  <c r="U19" i="8" s="1"/>
  <c r="P187" i="8"/>
  <c r="O187" i="8"/>
  <c r="P60" i="8"/>
  <c r="M41" i="8"/>
  <c r="N41" i="8"/>
  <c r="P174" i="8"/>
  <c r="O21" i="8"/>
  <c r="L19" i="8"/>
  <c r="L41" i="8"/>
  <c r="P21" i="8"/>
  <c r="N19" i="8"/>
  <c r="P19" i="8" s="1"/>
  <c r="I186" i="8"/>
  <c r="K186" i="8" s="1"/>
  <c r="K232" i="8"/>
  <c r="P187" i="7"/>
  <c r="N41" i="6"/>
  <c r="P22" i="6"/>
  <c r="Q19" i="7"/>
  <c r="T19" i="7" s="1"/>
  <c r="U95" i="7"/>
  <c r="N41" i="4"/>
  <c r="T729" i="7"/>
  <c r="U729" i="7"/>
  <c r="M41" i="7"/>
  <c r="I186" i="6"/>
  <c r="K186" i="6" s="1"/>
  <c r="U21" i="7"/>
  <c r="I186" i="7"/>
  <c r="K186" i="7" s="1"/>
  <c r="K232" i="7"/>
  <c r="T267" i="7"/>
  <c r="L41" i="7"/>
  <c r="O21" i="7"/>
  <c r="L19" i="7"/>
  <c r="O19" i="7" s="1"/>
  <c r="P21" i="5"/>
  <c r="O73" i="6"/>
  <c r="U19" i="2"/>
  <c r="T187" i="4"/>
  <c r="U118" i="3"/>
  <c r="U304" i="5"/>
  <c r="O21" i="6"/>
  <c r="L19" i="6"/>
  <c r="O19" i="6" s="1"/>
  <c r="T95" i="6"/>
  <c r="U21" i="6"/>
  <c r="R19" i="6"/>
  <c r="U19" i="6" s="1"/>
  <c r="N41" i="5"/>
  <c r="T21" i="6"/>
  <c r="Q19" i="6"/>
  <c r="T19" i="6" s="1"/>
  <c r="U118" i="1"/>
  <c r="M41" i="6"/>
  <c r="O45" i="6"/>
  <c r="L41" i="6"/>
  <c r="P21" i="6"/>
  <c r="M19" i="6"/>
  <c r="P19" i="6" s="1"/>
  <c r="U187" i="5"/>
  <c r="T118" i="1"/>
  <c r="P140" i="4"/>
  <c r="U22" i="4"/>
  <c r="L41" i="5"/>
  <c r="N19" i="5"/>
  <c r="P19" i="5" s="1"/>
  <c r="O60" i="5"/>
  <c r="O19" i="3"/>
  <c r="U21" i="5"/>
  <c r="S19" i="5"/>
  <c r="U19" i="5" s="1"/>
  <c r="K232" i="5"/>
  <c r="I186" i="5"/>
  <c r="K186" i="5" s="1"/>
  <c r="L19" i="5"/>
  <c r="O21" i="5"/>
  <c r="P45" i="5"/>
  <c r="M41" i="5"/>
  <c r="P60" i="5"/>
  <c r="O60" i="4"/>
  <c r="P304" i="4"/>
  <c r="O304" i="4"/>
  <c r="P174" i="3"/>
  <c r="I186" i="4"/>
  <c r="K186" i="4" s="1"/>
  <c r="K232" i="4"/>
  <c r="P21" i="4"/>
  <c r="O45" i="4"/>
  <c r="L41" i="4"/>
  <c r="I186" i="2"/>
  <c r="K186" i="2" s="1"/>
  <c r="P45" i="4"/>
  <c r="M41" i="4"/>
  <c r="U760" i="1"/>
  <c r="T21" i="4"/>
  <c r="Q19" i="4"/>
  <c r="T19" i="4" s="1"/>
  <c r="M19" i="4"/>
  <c r="P19" i="4" s="1"/>
  <c r="L19" i="4"/>
  <c r="O19" i="4" s="1"/>
  <c r="O21" i="4"/>
  <c r="R19" i="4"/>
  <c r="U19" i="4" s="1"/>
  <c r="U21" i="4"/>
  <c r="T760" i="1"/>
  <c r="O21" i="3"/>
  <c r="N41" i="3"/>
  <c r="U21" i="2"/>
  <c r="P60" i="3"/>
  <c r="O60" i="3"/>
  <c r="O158" i="3"/>
  <c r="L41" i="3"/>
  <c r="O45" i="3"/>
  <c r="M41" i="3"/>
  <c r="U21" i="3"/>
  <c r="R19" i="3"/>
  <c r="U19" i="3" s="1"/>
  <c r="P21" i="3"/>
  <c r="M19" i="3"/>
  <c r="P19" i="3" s="1"/>
  <c r="U22" i="3"/>
  <c r="T21" i="3"/>
  <c r="Q19" i="3"/>
  <c r="T19" i="3" s="1"/>
  <c r="T304" i="2"/>
  <c r="M41" i="2"/>
  <c r="P41" i="2" s="1"/>
  <c r="T21" i="2"/>
  <c r="Q19" i="2"/>
  <c r="T19" i="2" s="1"/>
  <c r="P22" i="2"/>
  <c r="T267" i="2"/>
  <c r="L41" i="2"/>
  <c r="O41" i="2" s="1"/>
  <c r="L19" i="2"/>
  <c r="O19" i="2" s="1"/>
  <c r="O21" i="2"/>
  <c r="P21" i="2"/>
  <c r="M19" i="2"/>
  <c r="P19" i="2" s="1"/>
  <c r="O304" i="1"/>
  <c r="U22" i="1"/>
  <c r="P304" i="1"/>
  <c r="O73" i="1"/>
  <c r="U21" i="1"/>
  <c r="U643" i="1"/>
  <c r="T643" i="1"/>
  <c r="P22" i="1"/>
  <c r="P357" i="1"/>
  <c r="O357" i="1"/>
  <c r="U304" i="1"/>
  <c r="U617" i="1"/>
  <c r="P60" i="1"/>
  <c r="S19" i="1"/>
  <c r="P174" i="1"/>
  <c r="T21" i="1"/>
  <c r="O174" i="1"/>
  <c r="P73" i="1"/>
  <c r="O60" i="1"/>
  <c r="T187" i="1"/>
  <c r="P267" i="1"/>
  <c r="U187" i="1"/>
  <c r="O22" i="1"/>
  <c r="T304" i="1"/>
  <c r="O20" i="1"/>
  <c r="L19" i="1"/>
  <c r="O95" i="1"/>
  <c r="U20" i="1"/>
  <c r="R19" i="1"/>
  <c r="N19" i="1"/>
  <c r="O21" i="1"/>
  <c r="M19" i="1"/>
  <c r="P20" i="1"/>
  <c r="T20" i="1"/>
  <c r="Q19" i="1"/>
  <c r="T22" i="1"/>
  <c r="T617" i="1"/>
  <c r="T19" i="18" l="1"/>
  <c r="T19" i="5"/>
  <c r="P41" i="5"/>
  <c r="O41" i="18"/>
  <c r="P41" i="18"/>
  <c r="P41" i="17"/>
  <c r="O41" i="17"/>
  <c r="O41" i="16"/>
  <c r="P41" i="16"/>
  <c r="O41" i="15"/>
  <c r="O41" i="12"/>
  <c r="P41" i="15"/>
  <c r="P41" i="13"/>
  <c r="P41" i="12"/>
  <c r="O41" i="13"/>
  <c r="O19" i="12"/>
  <c r="O41" i="9"/>
  <c r="P41" i="9"/>
  <c r="P19" i="10"/>
  <c r="O19" i="9"/>
  <c r="P19" i="9"/>
  <c r="P41" i="7"/>
  <c r="O41" i="7"/>
  <c r="O41" i="4"/>
  <c r="O19" i="8"/>
  <c r="P41" i="8"/>
  <c r="O41" i="8"/>
  <c r="P41" i="6"/>
  <c r="P41" i="4"/>
  <c r="O41" i="6"/>
  <c r="O41" i="5"/>
  <c r="O19" i="5"/>
  <c r="O41" i="3"/>
  <c r="P41" i="3"/>
  <c r="T19" i="1"/>
  <c r="U19" i="1"/>
  <c r="P19" i="1"/>
  <c r="O19" i="1"/>
</calcChain>
</file>

<file path=xl/sharedStrings.xml><?xml version="1.0" encoding="utf-8"?>
<sst xmlns="http://schemas.openxmlformats.org/spreadsheetml/2006/main" count="23613" uniqueCount="334">
  <si>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</si>
  <si>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</si>
  <si>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</si>
  <si>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</si>
  <si>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</si>
  <si>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</si>
  <si>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</si>
  <si>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</si>
  <si>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</si>
  <si>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</si>
  <si>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</si>
  <si>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</si>
  <si>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</si>
  <si>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</si>
  <si>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</si>
  <si>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</si>
  <si>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</si>
  <si>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</si>
  <si>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</si>
  <si>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</si>
  <si>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</si>
  <si>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</si>
  <si>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</si>
  <si>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</si>
  <si>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</si>
  <si>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</si>
  <si>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</si>
  <si>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</si>
  <si>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</si>
  <si>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</si>
  <si>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</si>
  <si>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</si>
  <si>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</si>
  <si>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</si>
  <si>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</si>
  <si>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</si>
  <si>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</si>
  <si>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</si>
  <si>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</si>
  <si>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</si>
  <si>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</si>
  <si>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</si>
  <si>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</si>
  <si>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</si>
  <si>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</si>
  <si>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</si>
  <si>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</si>
  <si>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</si>
  <si>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</si>
  <si>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</si>
  <si>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</si>
  <si>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</si>
  <si>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</si>
  <si>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</si>
  <si>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</si>
  <si>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</si>
  <si>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</si>
  <si>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</si>
  <si>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</si>
  <si>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</si>
  <si>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</si>
  <si>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</si>
  <si>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</si>
  <si>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</si>
  <si>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</si>
  <si>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</si>
  <si>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</si>
  <si>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</si>
  <si>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</si>
  <si>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</si>
  <si>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</si>
  <si>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</si>
  <si>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</si>
  <si>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</si>
  <si>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</si>
  <si>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</si>
  <si>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</si>
  <si>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</si>
  <si>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</si>
  <si>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</si>
  <si>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</si>
  <si>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</si>
  <si>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</si>
  <si>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</si>
  <si>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</si>
  <si>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</si>
  <si>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</si>
  <si>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</si>
  <si>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</si>
  <si>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</si>
  <si>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</si>
  <si>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</si>
  <si>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</si>
  <si>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</si>
  <si>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</si>
  <si>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</si>
  <si>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</si>
  <si>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</si>
  <si>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</si>
  <si>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</si>
  <si>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</si>
  <si>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</si>
  <si>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</si>
  <si>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</si>
  <si>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</si>
  <si>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</si>
  <si>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</si>
  <si>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</si>
  <si>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</si>
  <si>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</si>
  <si>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</si>
  <si>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</si>
  <si>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</si>
  <si>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</si>
  <si>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</si>
  <si>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</si>
  <si>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</si>
  <si>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</si>
  <si>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</si>
  <si>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</si>
  <si>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</si>
  <si>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</si>
  <si>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</si>
  <si>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</si>
  <si>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</si>
  <si>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</si>
  <si>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</si>
  <si>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</si>
  <si>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</si>
  <si>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</si>
  <si>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</si>
  <si>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</si>
  <si>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</si>
  <si>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</si>
  <si>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</si>
  <si>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</si>
  <si>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</si>
  <si>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</si>
  <si>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</si>
  <si>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</si>
  <si>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</si>
  <si>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</si>
  <si>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</si>
  <si>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</si>
  <si>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</si>
  <si>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</si>
  <si>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</si>
  <si>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</si>
  <si>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</si>
  <si>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</si>
  <si>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</si>
  <si>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</si>
  <si>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</si>
  <si>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</si>
  <si>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</si>
  <si>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</si>
  <si>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</si>
  <si>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</si>
  <si>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</si>
  <si>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</si>
  <si>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</si>
  <si>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</si>
  <si>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</si>
  <si>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</si>
  <si>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</si>
  <si>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</si>
  <si>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</si>
  <si>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</si>
  <si>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</si>
  <si>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</si>
  <si>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</si>
  <si>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</si>
  <si>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</si>
  <si>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</si>
  <si>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</si>
  <si>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</si>
  <si>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</si>
  <si>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</si>
  <si>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</si>
  <si>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</si>
  <si>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</si>
  <si>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</si>
  <si>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</si>
  <si>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</si>
  <si>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</si>
  <si>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</si>
  <si>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</si>
  <si>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</si>
  <si>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</si>
  <si>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</si>
  <si>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</si>
  <si>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</si>
  <si>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</si>
  <si>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</si>
  <si>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</si>
  <si>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</si>
  <si>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</si>
  <si>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</si>
  <si>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</si>
  <si>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</si>
  <si>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</si>
  <si>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</si>
  <si>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</si>
  <si>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</si>
  <si>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</si>
  <si>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</si>
  <si>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</si>
  <si>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</si>
  <si>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</si>
  <si>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</si>
  <si>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</si>
  <si>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</si>
  <si>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</si>
  <si>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</si>
  <si>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</si>
  <si>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</si>
  <si>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</si>
  <si>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</si>
  <si>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</si>
  <si>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</si>
  <si>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</si>
  <si>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</si>
  <si>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</si>
  <si>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</si>
  <si>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</si>
  <si>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</si>
  <si>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</si>
  <si>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</si>
  <si>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</si>
  <si>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</si>
  <si>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</si>
  <si>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</si>
  <si>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</si>
  <si>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</si>
  <si>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</si>
  <si>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</si>
  <si>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</si>
  <si>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</si>
  <si>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</si>
  <si>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</si>
  <si>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</si>
  <si>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</si>
  <si>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</si>
  <si>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</si>
  <si>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</si>
  <si>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</si>
  <si>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</si>
  <si>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</si>
  <si>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</si>
  <si>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</si>
  <si>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</si>
  <si>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</si>
  <si>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</si>
  <si>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</si>
  <si>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</si>
  <si>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</si>
  <si>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</si>
  <si>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</si>
  <si>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</si>
  <si>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</si>
  <si>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</si>
  <si>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</si>
  <si>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</si>
  <si>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</si>
  <si>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</si>
  <si>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</si>
  <si>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</si>
  <si>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</si>
  <si>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</si>
  <si>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</si>
  <si>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</si>
  <si>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</si>
  <si>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</si>
  <si>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</si>
  <si>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</si>
  <si>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</si>
  <si>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</si>
  <si>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</si>
  <si>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</si>
  <si>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</si>
  <si>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</si>
  <si>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</si>
  <si>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</si>
  <si>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</si>
  <si>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</si>
  <si>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</si>
  <si>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</si>
  <si>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</si>
  <si>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</si>
  <si>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</si>
  <si>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</si>
  <si>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</si>
  <si>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</si>
  <si>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</si>
  <si>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</si>
  <si>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</si>
  <si>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กำแพงเพชร</t>
  </si>
  <si>
    <t>รวม งบประมาณ</t>
  </si>
  <si>
    <t>- ค่าใช้จ่ายในการบริหารงาน</t>
  </si>
  <si>
    <t>- ค่าใช้จ่ายในการปฏิบัติงาน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</si>
  <si>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</si>
  <si>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</si>
  <si>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</si>
  <si>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</si>
  <si>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</si>
  <si>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</si>
  <si>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</si>
  <si>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</si>
  <si>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</si>
  <si>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</si>
  <si>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เชียงราย</t>
  </si>
  <si>
    <t>- งบบริหารโครงการ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</si>
  <si>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</si>
  <si>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</si>
  <si>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</si>
  <si>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</si>
  <si>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</si>
  <si>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โครงการศูนย์ภูฟ้าพัฒนาตามพระราชดำริฯ</t>
  </si>
  <si>
    <t>(6) โครงการปิดทองหลังพระตามพระราชดำริฯ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</si>
  <si>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</si>
  <si>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โครงการศูนย์เรียนรู้การพัฒนาเกษตรอ่างเก็บน้ำห้วยไฟฯ</t>
  </si>
  <si>
    <t>ราย/แปลง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</si>
  <si>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</si>
  <si>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</si>
  <si>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</si>
  <si>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</si>
  <si>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</si>
  <si>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</si>
  <si>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</si>
  <si>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</si>
  <si>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</si>
  <si>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</si>
  <si>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</si>
  <si>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29 กุมภาพันธ์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</si>
</sst>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46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b/>
      <sz val="15"/>
      <color theme="7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sz val="15"/>
      <color rgb="FF000000"/>
      <name val="Arial"/>
    </font>
    <font>
      <u/>
      <sz val="15"/>
      <color rgb="FF000000"/>
      <name val="Arial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33">
    <xf numFmtId="0" fontId="0" fillId="0" borderId="0" xfId="0" applyFont="1" applyAlignment="1"/>
    <xf numFmtId="0" fontId="1" fillId="0" borderId="0" xfId="0" applyFont="1" applyAlignment="1">
      <alignment horizontal="center"/>
    </xf>
    <xf numFmtId="187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1" xfId="0" applyFont="1" applyFill="1" applyBorder="1" applyAlignment="1"/>
    <xf numFmtId="188" fontId="3" fillId="2" borderId="1" xfId="0" applyNumberFormat="1" applyFont="1" applyFill="1" applyBorder="1" applyAlignment="1"/>
    <xf numFmtId="189" fontId="3" fillId="2" borderId="2" xfId="0" applyNumberFormat="1" applyFont="1" applyFill="1" applyBorder="1" applyAlignment="1"/>
    <xf numFmtId="0" fontId="6" fillId="5" borderId="6" xfId="0" applyFont="1" applyFill="1" applyBorder="1" applyAlignment="1">
      <alignment horizontal="center"/>
    </xf>
    <xf numFmtId="0" fontId="3" fillId="5" borderId="2" xfId="0" applyFont="1" applyFill="1" applyBorder="1" applyAlignment="1"/>
    <xf numFmtId="0" fontId="3" fillId="10" borderId="7" xfId="0" applyFont="1" applyFill="1" applyBorder="1" applyAlignment="1"/>
    <xf numFmtId="0" fontId="3" fillId="10" borderId="2" xfId="0" applyFont="1" applyFill="1" applyBorder="1" applyAlignment="1"/>
    <xf numFmtId="187" fontId="3" fillId="10" borderId="2" xfId="0" applyNumberFormat="1" applyFont="1" applyFill="1" applyBorder="1" applyAlignment="1"/>
    <xf numFmtId="189" fontId="3" fillId="10" borderId="2" xfId="0" applyNumberFormat="1" applyFont="1" applyFill="1" applyBorder="1" applyAlignment="1"/>
    <xf numFmtId="0" fontId="3" fillId="10" borderId="8" xfId="0" applyFont="1" applyFill="1" applyBorder="1" applyAlignment="1"/>
    <xf numFmtId="0" fontId="3" fillId="10" borderId="9" xfId="0" applyFont="1" applyFill="1" applyBorder="1" applyAlignment="1"/>
    <xf numFmtId="0" fontId="3" fillId="10" borderId="10" xfId="0" applyFont="1" applyFill="1" applyBorder="1" applyAlignment="1"/>
    <xf numFmtId="187" fontId="3" fillId="10" borderId="10" xfId="0" applyNumberFormat="1" applyFont="1" applyFill="1" applyBorder="1" applyAlignment="1"/>
    <xf numFmtId="189" fontId="3" fillId="10" borderId="10" xfId="0" applyNumberFormat="1" applyFont="1" applyFill="1" applyBorder="1" applyAlignment="1"/>
    <xf numFmtId="0" fontId="3" fillId="10" borderId="1" xfId="0" applyFont="1" applyFill="1" applyBorder="1" applyAlignment="1"/>
    <xf numFmtId="0" fontId="3" fillId="11" borderId="2" xfId="0" applyFont="1" applyFill="1" applyBorder="1" applyAlignment="1"/>
    <xf numFmtId="187" fontId="3" fillId="11" borderId="2" xfId="0" applyNumberFormat="1" applyFont="1" applyFill="1" applyBorder="1" applyAlignment="1"/>
    <xf numFmtId="189" fontId="3" fillId="11" borderId="2" xfId="0" applyNumberFormat="1" applyFont="1" applyFill="1" applyBorder="1" applyAlignment="1"/>
    <xf numFmtId="0" fontId="3" fillId="12" borderId="8" xfId="0" applyFont="1" applyFill="1" applyBorder="1" applyAlignment="1"/>
    <xf numFmtId="0" fontId="3" fillId="12" borderId="9" xfId="0" applyFont="1" applyFill="1" applyBorder="1" applyAlignment="1"/>
    <xf numFmtId="0" fontId="6" fillId="12" borderId="9" xfId="0" applyFont="1" applyFill="1" applyBorder="1" applyAlignment="1"/>
    <xf numFmtId="0" fontId="7" fillId="12" borderId="9" xfId="0" applyFont="1" applyFill="1" applyBorder="1" applyAlignment="1"/>
    <xf numFmtId="0" fontId="3" fillId="12" borderId="10" xfId="0" applyFont="1" applyFill="1" applyBorder="1" applyAlignment="1"/>
    <xf numFmtId="0" fontId="6" fillId="12" borderId="10" xfId="0" applyFont="1" applyFill="1" applyBorder="1" applyAlignment="1">
      <alignment horizontal="center"/>
    </xf>
    <xf numFmtId="187" fontId="3" fillId="12" borderId="10" xfId="0" applyNumberFormat="1" applyFont="1" applyFill="1" applyBorder="1" applyAlignment="1"/>
    <xf numFmtId="189" fontId="3" fillId="12" borderId="10" xfId="0" applyNumberFormat="1" applyFont="1" applyFill="1" applyBorder="1" applyAlignment="1"/>
    <xf numFmtId="189" fontId="6" fillId="12" borderId="10" xfId="0" applyNumberFormat="1" applyFont="1" applyFill="1" applyBorder="1" applyAlignment="1"/>
    <xf numFmtId="0" fontId="8" fillId="12" borderId="9" xfId="0" applyFont="1" applyFill="1" applyBorder="1" applyAlignment="1"/>
    <xf numFmtId="0" fontId="8" fillId="12" borderId="10" xfId="0" applyFont="1" applyFill="1" applyBorder="1" applyAlignment="1">
      <alignment horizontal="center"/>
    </xf>
    <xf numFmtId="189" fontId="9" fillId="12" borderId="10" xfId="0" applyNumberFormat="1" applyFont="1" applyFill="1" applyBorder="1" applyAlignment="1"/>
    <xf numFmtId="189" fontId="8" fillId="12" borderId="10" xfId="0" applyNumberFormat="1" applyFont="1" applyFill="1" applyBorder="1" applyAlignment="1"/>
    <xf numFmtId="0" fontId="3" fillId="2" borderId="8" xfId="0" applyFont="1" applyFill="1" applyBorder="1" applyAlignment="1"/>
    <xf numFmtId="0" fontId="3" fillId="2" borderId="9" xfId="0" applyFont="1" applyFill="1" applyBorder="1" applyAlignment="1"/>
    <xf numFmtId="0" fontId="10" fillId="2" borderId="9" xfId="0" applyFont="1" applyFill="1" applyBorder="1" applyAlignment="1"/>
    <xf numFmtId="0" fontId="3" fillId="2" borderId="10" xfId="0" applyFont="1" applyFill="1" applyBorder="1" applyAlignment="1"/>
    <xf numFmtId="0" fontId="8" fillId="2" borderId="10" xfId="0" applyFont="1" applyFill="1" applyBorder="1" applyAlignment="1">
      <alignment horizontal="center"/>
    </xf>
    <xf numFmtId="187" fontId="3" fillId="2" borderId="10" xfId="0" applyNumberFormat="1" applyFont="1" applyFill="1" applyBorder="1" applyAlignment="1"/>
    <xf numFmtId="189" fontId="3" fillId="2" borderId="10" xfId="0" applyNumberFormat="1" applyFont="1" applyFill="1" applyBorder="1" applyAlignment="1"/>
    <xf numFmtId="189" fontId="8" fillId="2" borderId="10" xfId="0" applyNumberFormat="1" applyFont="1" applyFill="1" applyBorder="1" applyAlignment="1"/>
    <xf numFmtId="0" fontId="8" fillId="2" borderId="9" xfId="0" applyFont="1" applyFill="1" applyBorder="1" applyAlignment="1"/>
    <xf numFmtId="189" fontId="9" fillId="2" borderId="10" xfId="0" applyNumberFormat="1" applyFont="1" applyFill="1" applyBorder="1" applyAlignment="1"/>
    <xf numFmtId="0" fontId="11" fillId="2" borderId="9" xfId="0" applyFont="1" applyFill="1" applyBorder="1" applyAlignment="1"/>
    <xf numFmtId="0" fontId="3" fillId="2" borderId="7" xfId="0" applyFont="1" applyFill="1" applyBorder="1" applyAlignment="1"/>
    <xf numFmtId="0" fontId="8" fillId="2" borderId="1" xfId="0" applyFont="1" applyFill="1" applyBorder="1" applyAlignment="1"/>
    <xf numFmtId="0" fontId="3" fillId="2" borderId="2" xfId="0" applyFont="1" applyFill="1" applyBorder="1" applyAlignment="1"/>
    <xf numFmtId="0" fontId="8" fillId="2" borderId="2" xfId="0" applyFont="1" applyFill="1" applyBorder="1" applyAlignment="1">
      <alignment horizontal="center"/>
    </xf>
    <xf numFmtId="187" fontId="3" fillId="2" borderId="2" xfId="0" applyNumberFormat="1" applyFont="1" applyFill="1" applyBorder="1" applyAlignment="1"/>
    <xf numFmtId="0" fontId="6" fillId="13" borderId="7" xfId="0" applyFont="1" applyFill="1" applyBorder="1" applyAlignment="1"/>
    <xf numFmtId="0" fontId="3" fillId="13" borderId="1" xfId="0" applyFont="1" applyFill="1" applyBorder="1" applyAlignment="1"/>
    <xf numFmtId="0" fontId="3" fillId="13" borderId="2" xfId="0" applyFont="1" applyFill="1" applyBorder="1" applyAlignment="1"/>
    <xf numFmtId="187" fontId="3" fillId="13" borderId="2" xfId="0" applyNumberFormat="1" applyFont="1" applyFill="1" applyBorder="1" applyAlignment="1"/>
    <xf numFmtId="189" fontId="3" fillId="13" borderId="2" xfId="0" applyNumberFormat="1" applyFont="1" applyFill="1" applyBorder="1" applyAlignment="1"/>
    <xf numFmtId="0" fontId="6" fillId="14" borderId="7" xfId="0" applyFont="1" applyFill="1" applyBorder="1" applyAlignment="1"/>
    <xf numFmtId="0" fontId="3" fillId="14" borderId="1" xfId="0" applyFont="1" applyFill="1" applyBorder="1" applyAlignment="1"/>
    <xf numFmtId="187" fontId="3" fillId="14" borderId="1" xfId="0" applyNumberFormat="1" applyFont="1" applyFill="1" applyBorder="1" applyAlignment="1"/>
    <xf numFmtId="189" fontId="3" fillId="14" borderId="1" xfId="0" applyNumberFormat="1" applyFont="1" applyFill="1" applyBorder="1" applyAlignment="1"/>
    <xf numFmtId="189" fontId="3" fillId="14" borderId="2" xfId="0" applyNumberFormat="1" applyFont="1" applyFill="1" applyBorder="1" applyAlignment="1"/>
    <xf numFmtId="0" fontId="3" fillId="15" borderId="9" xfId="0" applyFont="1" applyFill="1" applyBorder="1" applyAlignment="1"/>
    <xf numFmtId="0" fontId="6" fillId="15" borderId="9" xfId="0" applyFont="1" applyFill="1" applyBorder="1" applyAlignment="1"/>
    <xf numFmtId="0" fontId="3" fillId="15" borderId="10" xfId="0" applyFont="1" applyFill="1" applyBorder="1" applyAlignment="1"/>
    <xf numFmtId="187" fontId="3" fillId="15" borderId="10" xfId="0" applyNumberFormat="1" applyFont="1" applyFill="1" applyBorder="1" applyAlignment="1"/>
    <xf numFmtId="189" fontId="3" fillId="15" borderId="10" xfId="0" applyNumberFormat="1" applyFont="1" applyFill="1" applyBorder="1" applyAlignment="1"/>
    <xf numFmtId="0" fontId="3" fillId="16" borderId="8" xfId="0" applyFont="1" applyFill="1" applyBorder="1" applyAlignment="1"/>
    <xf numFmtId="0" fontId="3" fillId="16" borderId="9" xfId="0" applyFont="1" applyFill="1" applyBorder="1" applyAlignment="1"/>
    <xf numFmtId="0" fontId="6" fillId="16" borderId="9" xfId="0" applyFont="1" applyFill="1" applyBorder="1" applyAlignment="1"/>
    <xf numFmtId="0" fontId="12" fillId="16" borderId="9" xfId="0" applyFont="1" applyFill="1" applyBorder="1" applyAlignment="1"/>
    <xf numFmtId="0" fontId="3" fillId="16" borderId="10" xfId="0" applyFont="1" applyFill="1" applyBorder="1" applyAlignment="1"/>
    <xf numFmtId="0" fontId="6" fillId="16" borderId="10" xfId="0" applyFont="1" applyFill="1" applyBorder="1" applyAlignment="1">
      <alignment horizontal="center"/>
    </xf>
    <xf numFmtId="187" fontId="3" fillId="16" borderId="10" xfId="0" applyNumberFormat="1" applyFont="1" applyFill="1" applyBorder="1" applyAlignment="1"/>
    <xf numFmtId="189" fontId="3" fillId="16" borderId="10" xfId="0" applyNumberFormat="1" applyFont="1" applyFill="1" applyBorder="1" applyAlignment="1"/>
    <xf numFmtId="189" fontId="6" fillId="16" borderId="10" xfId="0" applyNumberFormat="1" applyFont="1" applyFill="1" applyBorder="1" applyAlignment="1"/>
    <xf numFmtId="0" fontId="8" fillId="16" borderId="9" xfId="0" applyFont="1" applyFill="1" applyBorder="1" applyAlignment="1"/>
    <xf numFmtId="0" fontId="8" fillId="16" borderId="10" xfId="0" applyFont="1" applyFill="1" applyBorder="1" applyAlignment="1">
      <alignment horizontal="center"/>
    </xf>
    <xf numFmtId="189" fontId="9" fillId="16" borderId="10" xfId="0" applyNumberFormat="1" applyFont="1" applyFill="1" applyBorder="1" applyAlignment="1"/>
    <xf numFmtId="189" fontId="8" fillId="16" borderId="10" xfId="0" applyNumberFormat="1" applyFont="1" applyFill="1" applyBorder="1" applyAlignment="1"/>
    <xf numFmtId="189" fontId="9" fillId="2" borderId="10" xfId="0" applyNumberFormat="1" applyFont="1" applyFill="1" applyBorder="1" applyAlignment="1">
      <alignment horizontal="right"/>
    </xf>
    <xf numFmtId="0" fontId="3" fillId="17" borderId="1" xfId="0" applyFont="1" applyFill="1" applyBorder="1" applyAlignment="1"/>
    <xf numFmtId="187" fontId="3" fillId="17" borderId="1" xfId="0" applyNumberFormat="1" applyFont="1" applyFill="1" applyBorder="1" applyAlignment="1"/>
    <xf numFmtId="189" fontId="3" fillId="17" borderId="1" xfId="0" applyNumberFormat="1" applyFont="1" applyFill="1" applyBorder="1" applyAlignment="1"/>
    <xf numFmtId="189" fontId="3" fillId="17" borderId="2" xfId="0" applyNumberFormat="1" applyFont="1" applyFill="1" applyBorder="1" applyAlignment="1"/>
    <xf numFmtId="0" fontId="3" fillId="18" borderId="8" xfId="0" applyFont="1" applyFill="1" applyBorder="1" applyAlignment="1"/>
    <xf numFmtId="0" fontId="3" fillId="18" borderId="10" xfId="0" applyFont="1" applyFill="1" applyBorder="1" applyAlignment="1"/>
    <xf numFmtId="187" fontId="3" fillId="18" borderId="10" xfId="0" applyNumberFormat="1" applyFont="1" applyFill="1" applyBorder="1" applyAlignment="1"/>
    <xf numFmtId="189" fontId="3" fillId="18" borderId="10" xfId="0" applyNumberFormat="1" applyFont="1" applyFill="1" applyBorder="1" applyAlignment="1"/>
    <xf numFmtId="0" fontId="3" fillId="19" borderId="8" xfId="0" applyFont="1" applyFill="1" applyBorder="1" applyAlignment="1"/>
    <xf numFmtId="0" fontId="6" fillId="19" borderId="9" xfId="0" applyFont="1" applyFill="1" applyBorder="1" applyAlignment="1"/>
    <xf numFmtId="0" fontId="3" fillId="19" borderId="9" xfId="0" applyFont="1" applyFill="1" applyBorder="1" applyAlignment="1"/>
    <xf numFmtId="0" fontId="3" fillId="19" borderId="10" xfId="0" applyFont="1" applyFill="1" applyBorder="1" applyAlignment="1"/>
    <xf numFmtId="187" fontId="3" fillId="19" borderId="10" xfId="0" applyNumberFormat="1" applyFont="1" applyFill="1" applyBorder="1" applyAlignment="1"/>
    <xf numFmtId="189" fontId="3" fillId="19" borderId="10" xfId="0" applyNumberFormat="1" applyFont="1" applyFill="1" applyBorder="1" applyAlignment="1"/>
    <xf numFmtId="0" fontId="3" fillId="20" borderId="8" xfId="0" applyFont="1" applyFill="1" applyBorder="1" applyAlignment="1"/>
    <xf numFmtId="0" fontId="3" fillId="20" borderId="9" xfId="0" applyFont="1" applyFill="1" applyBorder="1" applyAlignment="1"/>
    <xf numFmtId="0" fontId="6" fillId="20" borderId="9" xfId="0" applyFont="1" applyFill="1" applyBorder="1" applyAlignment="1"/>
    <xf numFmtId="0" fontId="13" fillId="20" borderId="9" xfId="0" applyFont="1" applyFill="1" applyBorder="1" applyAlignment="1"/>
    <xf numFmtId="0" fontId="3" fillId="20" borderId="10" xfId="0" applyFont="1" applyFill="1" applyBorder="1" applyAlignment="1"/>
    <xf numFmtId="0" fontId="6" fillId="20" borderId="10" xfId="0" applyFont="1" applyFill="1" applyBorder="1" applyAlignment="1">
      <alignment horizontal="center"/>
    </xf>
    <xf numFmtId="187" fontId="3" fillId="20" borderId="10" xfId="0" applyNumberFormat="1" applyFont="1" applyFill="1" applyBorder="1" applyAlignment="1"/>
    <xf numFmtId="189" fontId="3" fillId="20" borderId="10" xfId="0" applyNumberFormat="1" applyFont="1" applyFill="1" applyBorder="1" applyAlignment="1"/>
    <xf numFmtId="189" fontId="6" fillId="20" borderId="10" xfId="0" applyNumberFormat="1" applyFont="1" applyFill="1" applyBorder="1" applyAlignment="1"/>
    <xf numFmtId="0" fontId="8" fillId="20" borderId="9" xfId="0" applyFont="1" applyFill="1" applyBorder="1" applyAlignment="1"/>
    <xf numFmtId="0" fontId="8" fillId="20" borderId="10" xfId="0" applyFont="1" applyFill="1" applyBorder="1" applyAlignment="1">
      <alignment horizontal="center"/>
    </xf>
    <xf numFmtId="189" fontId="8" fillId="20" borderId="10" xfId="0" applyNumberFormat="1" applyFont="1" applyFill="1" applyBorder="1" applyAlignment="1"/>
    <xf numFmtId="189" fontId="9" fillId="20" borderId="10" xfId="0" applyNumberFormat="1" applyFont="1" applyFill="1" applyBorder="1" applyAlignment="1"/>
    <xf numFmtId="189" fontId="8" fillId="2" borderId="2" xfId="0" applyNumberFormat="1" applyFont="1" applyFill="1" applyBorder="1" applyAlignment="1"/>
    <xf numFmtId="188" fontId="6" fillId="21" borderId="7" xfId="0" applyNumberFormat="1" applyFont="1" applyFill="1" applyBorder="1" applyAlignment="1"/>
    <xf numFmtId="188" fontId="3" fillId="21" borderId="1" xfId="0" applyNumberFormat="1" applyFont="1" applyFill="1" applyBorder="1" applyAlignment="1"/>
    <xf numFmtId="0" fontId="3" fillId="21" borderId="1" xfId="0" applyFont="1" applyFill="1" applyBorder="1" applyAlignment="1"/>
    <xf numFmtId="187" fontId="3" fillId="21" borderId="1" xfId="0" applyNumberFormat="1" applyFont="1" applyFill="1" applyBorder="1" applyAlignment="1"/>
    <xf numFmtId="189" fontId="3" fillId="21" borderId="1" xfId="0" applyNumberFormat="1" applyFont="1" applyFill="1" applyBorder="1" applyAlignment="1"/>
    <xf numFmtId="189" fontId="3" fillId="21" borderId="2" xfId="0" applyNumberFormat="1" applyFont="1" applyFill="1" applyBorder="1" applyAlignment="1"/>
    <xf numFmtId="188" fontId="6" fillId="22" borderId="8" xfId="0" applyNumberFormat="1" applyFont="1" applyFill="1" applyBorder="1" applyAlignment="1"/>
    <xf numFmtId="0" fontId="3" fillId="22" borderId="9" xfId="0" applyFont="1" applyFill="1" applyBorder="1" applyAlignment="1"/>
    <xf numFmtId="188" fontId="3" fillId="22" borderId="9" xfId="0" applyNumberFormat="1" applyFont="1" applyFill="1" applyBorder="1" applyAlignment="1"/>
    <xf numFmtId="0" fontId="3" fillId="22" borderId="10" xfId="0" applyFont="1" applyFill="1" applyBorder="1" applyAlignment="1"/>
    <xf numFmtId="187" fontId="3" fillId="22" borderId="10" xfId="0" applyNumberFormat="1" applyFont="1" applyFill="1" applyBorder="1" applyAlignment="1"/>
    <xf numFmtId="189" fontId="3" fillId="22" borderId="10" xfId="0" applyNumberFormat="1" applyFont="1" applyFill="1" applyBorder="1" applyAlignment="1"/>
    <xf numFmtId="190" fontId="3" fillId="12" borderId="8" xfId="0" applyNumberFormat="1" applyFont="1" applyFill="1" applyBorder="1" applyAlignment="1"/>
    <xf numFmtId="0" fontId="6" fillId="12" borderId="9" xfId="0" applyFont="1" applyFill="1" applyBorder="1" applyAlignment="1"/>
    <xf numFmtId="188" fontId="3" fillId="12" borderId="9" xfId="0" applyNumberFormat="1" applyFont="1" applyFill="1" applyBorder="1" applyAlignment="1"/>
    <xf numFmtId="0" fontId="6" fillId="12" borderId="10" xfId="0" applyFont="1" applyFill="1" applyBorder="1" applyAlignment="1">
      <alignment horizontal="center" wrapText="1"/>
    </xf>
    <xf numFmtId="187" fontId="6" fillId="12" borderId="10" xfId="0" applyNumberFormat="1" applyFont="1" applyFill="1" applyBorder="1" applyAlignment="1"/>
    <xf numFmtId="190" fontId="3" fillId="2" borderId="8" xfId="0" applyNumberFormat="1" applyFont="1" applyFill="1" applyBorder="1" applyAlignment="1"/>
    <xf numFmtId="0" fontId="6" fillId="2" borderId="9" xfId="0" applyFont="1" applyFill="1" applyBorder="1" applyAlignment="1"/>
    <xf numFmtId="0" fontId="14" fillId="2" borderId="9" xfId="0" applyFont="1" applyFill="1" applyBorder="1" applyAlignment="1"/>
    <xf numFmtId="188" fontId="6" fillId="2" borderId="10" xfId="0" applyNumberFormat="1" applyFont="1" applyFill="1" applyBorder="1" applyAlignment="1">
      <alignment horizontal="center"/>
    </xf>
    <xf numFmtId="189" fontId="6" fillId="2" borderId="10" xfId="0" applyNumberFormat="1" applyFont="1" applyFill="1" applyBorder="1" applyAlignment="1"/>
    <xf numFmtId="188" fontId="8" fillId="2" borderId="10" xfId="0" applyNumberFormat="1" applyFont="1" applyFill="1" applyBorder="1" applyAlignment="1">
      <alignment horizontal="center"/>
    </xf>
    <xf numFmtId="188" fontId="8" fillId="0" borderId="10" xfId="0" applyNumberFormat="1" applyFont="1" applyBorder="1" applyAlignment="1">
      <alignment horizontal="center" wrapText="1"/>
    </xf>
    <xf numFmtId="187" fontId="3" fillId="0" borderId="10" xfId="0" applyNumberFormat="1" applyFont="1" applyBorder="1" applyAlignment="1"/>
    <xf numFmtId="189" fontId="3" fillId="0" borderId="10" xfId="0" applyNumberFormat="1" applyFont="1" applyBorder="1" applyAlignment="1"/>
    <xf numFmtId="188" fontId="8" fillId="0" borderId="10" xfId="0" applyNumberFormat="1" applyFont="1" applyBorder="1" applyAlignment="1">
      <alignment horizontal="center"/>
    </xf>
    <xf numFmtId="188" fontId="3" fillId="0" borderId="8" xfId="0" applyNumberFormat="1" applyFont="1" applyBorder="1" applyAlignment="1"/>
    <xf numFmtId="188" fontId="3" fillId="0" borderId="9" xfId="0" applyNumberFormat="1" applyFont="1" applyBorder="1" applyAlignment="1"/>
    <xf numFmtId="0" fontId="15" fillId="23" borderId="9" xfId="0" quotePrefix="1" applyFont="1" applyFill="1" applyBorder="1" applyAlignment="1"/>
    <xf numFmtId="0" fontId="3" fillId="23" borderId="9" xfId="0" applyFont="1" applyFill="1" applyBorder="1" applyAlignment="1"/>
    <xf numFmtId="0" fontId="3" fillId="23" borderId="10" xfId="0" applyFont="1" applyFill="1" applyBorder="1" applyAlignment="1"/>
    <xf numFmtId="0" fontId="3" fillId="0" borderId="10" xfId="0" applyFont="1" applyBorder="1" applyAlignment="1"/>
    <xf numFmtId="0" fontId="8" fillId="0" borderId="9" xfId="0" quotePrefix="1" applyFont="1" applyBorder="1" applyAlignment="1"/>
    <xf numFmtId="0" fontId="3" fillId="0" borderId="9" xfId="0" applyFont="1" applyBorder="1" applyAlignment="1"/>
    <xf numFmtId="0" fontId="6" fillId="0" borderId="10" xfId="0" applyFont="1" applyBorder="1" applyAlignment="1">
      <alignment horizontal="center" wrapText="1"/>
    </xf>
    <xf numFmtId="187" fontId="6" fillId="2" borderId="10" xfId="0" applyNumberFormat="1" applyFont="1" applyFill="1" applyBorder="1" applyAlignment="1"/>
    <xf numFmtId="189" fontId="6" fillId="0" borderId="10" xfId="0" applyNumberFormat="1" applyFont="1" applyBorder="1" applyAlignment="1"/>
    <xf numFmtId="0" fontId="8" fillId="0" borderId="9" xfId="0" applyFont="1" applyBorder="1" applyAlignment="1"/>
    <xf numFmtId="0" fontId="8" fillId="0" borderId="10" xfId="0" applyFont="1" applyBorder="1" applyAlignment="1">
      <alignment horizontal="center"/>
    </xf>
    <xf numFmtId="187" fontId="8" fillId="0" borderId="10" xfId="0" applyNumberFormat="1" applyFont="1" applyBorder="1" applyAlignment="1"/>
    <xf numFmtId="189" fontId="8" fillId="0" borderId="10" xfId="0" applyNumberFormat="1" applyFont="1" applyBorder="1" applyAlignment="1"/>
    <xf numFmtId="0" fontId="8" fillId="0" borderId="10" xfId="0" applyFont="1" applyBorder="1" applyAlignment="1">
      <alignment horizontal="center" wrapText="1"/>
    </xf>
    <xf numFmtId="188" fontId="3" fillId="22" borderId="10" xfId="0" applyNumberFormat="1" applyFont="1" applyFill="1" applyBorder="1" applyAlignment="1"/>
    <xf numFmtId="188" fontId="6" fillId="12" borderId="10" xfId="0" applyNumberFormat="1" applyFont="1" applyFill="1" applyBorder="1" applyAlignment="1">
      <alignment horizontal="center" wrapText="1"/>
    </xf>
    <xf numFmtId="0" fontId="9" fillId="2" borderId="9" xfId="0" applyFont="1" applyFill="1" applyBorder="1" applyAlignment="1"/>
    <xf numFmtId="188" fontId="9" fillId="2" borderId="10" xfId="0" applyNumberFormat="1" applyFont="1" applyFill="1" applyBorder="1" applyAlignment="1">
      <alignment horizontal="center"/>
    </xf>
    <xf numFmtId="188" fontId="3" fillId="2" borderId="9" xfId="0" applyNumberFormat="1" applyFont="1" applyFill="1" applyBorder="1" applyAlignment="1"/>
    <xf numFmtId="188" fontId="9" fillId="0" borderId="10" xfId="0" applyNumberFormat="1" applyFont="1" applyBorder="1" applyAlignment="1">
      <alignment horizontal="center" wrapText="1"/>
    </xf>
    <xf numFmtId="188" fontId="16" fillId="2" borderId="9" xfId="0" applyNumberFormat="1" applyFont="1" applyFill="1" applyBorder="1" applyAlignment="1"/>
    <xf numFmtId="188" fontId="6" fillId="2" borderId="9" xfId="0" applyNumberFormat="1" applyFont="1" applyFill="1" applyBorder="1" applyAlignment="1"/>
    <xf numFmtId="188" fontId="3" fillId="10" borderId="8" xfId="0" applyNumberFormat="1" applyFont="1" applyFill="1" applyBorder="1" applyAlignment="1"/>
    <xf numFmtId="188" fontId="3" fillId="10" borderId="9" xfId="0" applyNumberFormat="1" applyFont="1" applyFill="1" applyBorder="1" applyAlignment="1"/>
    <xf numFmtId="0" fontId="6" fillId="0" borderId="9" xfId="0" applyFont="1" applyBorder="1" applyAlignment="1"/>
    <xf numFmtId="0" fontId="3" fillId="0" borderId="0" xfId="0" applyFont="1" applyAlignment="1"/>
    <xf numFmtId="0" fontId="8" fillId="0" borderId="9" xfId="0" applyFont="1" applyBorder="1" applyAlignment="1"/>
    <xf numFmtId="187" fontId="8" fillId="2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3" fillId="0" borderId="9" xfId="0" applyFont="1" applyBorder="1" applyAlignment="1"/>
    <xf numFmtId="0" fontId="8" fillId="0" borderId="10" xfId="0" applyFont="1" applyBorder="1" applyAlignment="1">
      <alignment horizontal="center"/>
    </xf>
    <xf numFmtId="190" fontId="3" fillId="22" borderId="9" xfId="0" applyNumberFormat="1" applyFont="1" applyFill="1" applyBorder="1" applyAlignment="1"/>
    <xf numFmtId="187" fontId="3" fillId="22" borderId="9" xfId="0" applyNumberFormat="1" applyFont="1" applyFill="1" applyBorder="1" applyAlignment="1"/>
    <xf numFmtId="189" fontId="3" fillId="22" borderId="9" xfId="0" applyNumberFormat="1" applyFont="1" applyFill="1" applyBorder="1" applyAlignment="1"/>
    <xf numFmtId="188" fontId="6" fillId="12" borderId="9" xfId="0" applyNumberFormat="1" applyFont="1" applyFill="1" applyBorder="1" applyAlignment="1"/>
    <xf numFmtId="190" fontId="3" fillId="12" borderId="9" xfId="0" applyNumberFormat="1" applyFont="1" applyFill="1" applyBorder="1" applyAlignment="1"/>
    <xf numFmtId="188" fontId="6" fillId="12" borderId="10" xfId="0" applyNumberFormat="1" applyFont="1" applyFill="1" applyBorder="1" applyAlignment="1">
      <alignment horizontal="center"/>
    </xf>
    <xf numFmtId="190" fontId="3" fillId="2" borderId="9" xfId="0" applyNumberFormat="1" applyFont="1" applyFill="1" applyBorder="1" applyAlignment="1"/>
    <xf numFmtId="188" fontId="8" fillId="2" borderId="10" xfId="0" applyNumberFormat="1" applyFont="1" applyFill="1" applyBorder="1" applyAlignment="1">
      <alignment horizontal="center" wrapText="1"/>
    </xf>
    <xf numFmtId="188" fontId="9" fillId="2" borderId="10" xfId="0" applyNumberFormat="1" applyFont="1" applyFill="1" applyBorder="1" applyAlignment="1">
      <alignment horizontal="center" wrapText="1"/>
    </xf>
    <xf numFmtId="188" fontId="17" fillId="2" borderId="9" xfId="0" applyNumberFormat="1" applyFont="1" applyFill="1" applyBorder="1" applyAlignment="1">
      <alignment horizontal="center"/>
    </xf>
    <xf numFmtId="188" fontId="3" fillId="0" borderId="10" xfId="0" applyNumberFormat="1" applyFont="1" applyBorder="1" applyAlignment="1"/>
    <xf numFmtId="0" fontId="9" fillId="0" borderId="9" xfId="0" applyFont="1" applyBorder="1" applyAlignment="1"/>
    <xf numFmtId="188" fontId="3" fillId="2" borderId="10" xfId="0" applyNumberFormat="1" applyFont="1" applyFill="1" applyBorder="1" applyAlignment="1"/>
    <xf numFmtId="188" fontId="3" fillId="10" borderId="10" xfId="0" applyNumberFormat="1" applyFont="1" applyFill="1" applyBorder="1" applyAlignment="1"/>
    <xf numFmtId="187" fontId="3" fillId="12" borderId="9" xfId="0" applyNumberFormat="1" applyFont="1" applyFill="1" applyBorder="1" applyAlignment="1"/>
    <xf numFmtId="190" fontId="6" fillId="12" borderId="9" xfId="0" applyNumberFormat="1" applyFont="1" applyFill="1" applyBorder="1" applyAlignment="1"/>
    <xf numFmtId="0" fontId="6" fillId="12" borderId="10" xfId="0" applyFont="1" applyFill="1" applyBorder="1" applyAlignment="1">
      <alignment horizontal="center" wrapText="1"/>
    </xf>
    <xf numFmtId="0" fontId="6" fillId="2" borderId="9" xfId="0" applyFont="1" applyFill="1" applyBorder="1" applyAlignment="1"/>
    <xf numFmtId="0" fontId="3" fillId="2" borderId="9" xfId="0" applyFont="1" applyFill="1" applyBorder="1" applyAlignment="1"/>
    <xf numFmtId="0" fontId="8" fillId="2" borderId="9" xfId="0" applyFont="1" applyFill="1" applyBorder="1" applyAlignment="1"/>
    <xf numFmtId="187" fontId="8" fillId="2" borderId="10" xfId="0" applyNumberFormat="1" applyFont="1" applyFill="1" applyBorder="1" applyAlignment="1">
      <alignment horizontal="right"/>
    </xf>
    <xf numFmtId="190" fontId="3" fillId="2" borderId="7" xfId="0" applyNumberFormat="1" applyFont="1" applyFill="1" applyBorder="1" applyAlignment="1"/>
    <xf numFmtId="0" fontId="8" fillId="2" borderId="1" xfId="0" applyFont="1" applyFill="1" applyBorder="1" applyAlignment="1"/>
    <xf numFmtId="188" fontId="8" fillId="0" borderId="2" xfId="0" applyNumberFormat="1" applyFont="1" applyBorder="1" applyAlignment="1">
      <alignment horizontal="center"/>
    </xf>
    <xf numFmtId="187" fontId="8" fillId="2" borderId="2" xfId="0" applyNumberFormat="1" applyFont="1" applyFill="1" applyBorder="1" applyAlignment="1"/>
    <xf numFmtId="187" fontId="8" fillId="2" borderId="2" xfId="0" applyNumberFormat="1" applyFont="1" applyFill="1" applyBorder="1" applyAlignment="1">
      <alignment horizontal="right"/>
    </xf>
    <xf numFmtId="188" fontId="6" fillId="9" borderId="7" xfId="0" applyNumberFormat="1" applyFont="1" applyFill="1" applyBorder="1" applyAlignment="1"/>
    <xf numFmtId="188" fontId="3" fillId="9" borderId="1" xfId="0" applyNumberFormat="1" applyFont="1" applyFill="1" applyBorder="1" applyAlignment="1"/>
    <xf numFmtId="0" fontId="3" fillId="9" borderId="1" xfId="0" applyFont="1" applyFill="1" applyBorder="1" applyAlignment="1"/>
    <xf numFmtId="187" fontId="3" fillId="9" borderId="1" xfId="0" applyNumberFormat="1" applyFont="1" applyFill="1" applyBorder="1" applyAlignment="1"/>
    <xf numFmtId="189" fontId="3" fillId="9" borderId="1" xfId="0" applyNumberFormat="1" applyFont="1" applyFill="1" applyBorder="1" applyAlignment="1"/>
    <xf numFmtId="189" fontId="3" fillId="9" borderId="2" xfId="0" applyNumberFormat="1" applyFont="1" applyFill="1" applyBorder="1" applyAlignment="1"/>
    <xf numFmtId="188" fontId="6" fillId="25" borderId="8" xfId="0" applyNumberFormat="1" applyFont="1" applyFill="1" applyBorder="1" applyAlignment="1"/>
    <xf numFmtId="188" fontId="3" fillId="25" borderId="9" xfId="0" applyNumberFormat="1" applyFont="1" applyFill="1" applyBorder="1" applyAlignment="1"/>
    <xf numFmtId="0" fontId="3" fillId="25" borderId="9" xfId="0" applyFont="1" applyFill="1" applyBorder="1" applyAlignment="1"/>
    <xf numFmtId="0" fontId="3" fillId="25" borderId="10" xfId="0" applyFont="1" applyFill="1" applyBorder="1" applyAlignment="1"/>
    <xf numFmtId="187" fontId="3" fillId="25" borderId="10" xfId="0" applyNumberFormat="1" applyFont="1" applyFill="1" applyBorder="1" applyAlignment="1"/>
    <xf numFmtId="189" fontId="3" fillId="25" borderId="10" xfId="0" applyNumberFormat="1" applyFont="1" applyFill="1" applyBorder="1" applyAlignment="1"/>
    <xf numFmtId="188" fontId="3" fillId="23" borderId="8" xfId="0" applyNumberFormat="1" applyFont="1" applyFill="1" applyBorder="1" applyAlignment="1"/>
    <xf numFmtId="0" fontId="6" fillId="23" borderId="9" xfId="0" applyFont="1" applyFill="1" applyBorder="1" applyAlignment="1"/>
    <xf numFmtId="188" fontId="3" fillId="23" borderId="9" xfId="0" applyNumberFormat="1" applyFont="1" applyFill="1" applyBorder="1" applyAlignment="1"/>
    <xf numFmtId="0" fontId="6" fillId="23" borderId="10" xfId="0" applyFont="1" applyFill="1" applyBorder="1" applyAlignment="1">
      <alignment horizontal="center" wrapText="1"/>
    </xf>
    <xf numFmtId="187" fontId="6" fillId="23" borderId="10" xfId="0" applyNumberFormat="1" applyFont="1" applyFill="1" applyBorder="1" applyAlignment="1"/>
    <xf numFmtId="189" fontId="6" fillId="23" borderId="10" xfId="0" applyNumberFormat="1" applyFont="1" applyFill="1" applyBorder="1" applyAlignment="1"/>
    <xf numFmtId="189" fontId="3" fillId="23" borderId="10" xfId="0" applyNumberFormat="1" applyFont="1" applyFill="1" applyBorder="1" applyAlignment="1"/>
    <xf numFmtId="188" fontId="3" fillId="2" borderId="8" xfId="0" applyNumberFormat="1" applyFont="1" applyFill="1" applyBorder="1" applyAlignment="1"/>
    <xf numFmtId="188" fontId="8" fillId="2" borderId="9" xfId="0" applyNumberFormat="1" applyFont="1" applyFill="1" applyBorder="1" applyAlignment="1"/>
    <xf numFmtId="0" fontId="8" fillId="2" borderId="10" xfId="0" applyFont="1" applyFill="1" applyBorder="1" applyAlignment="1">
      <alignment horizontal="center" wrapText="1"/>
    </xf>
    <xf numFmtId="188" fontId="3" fillId="26" borderId="8" xfId="0" applyNumberFormat="1" applyFont="1" applyFill="1" applyBorder="1" applyAlignment="1"/>
    <xf numFmtId="188" fontId="3" fillId="26" borderId="9" xfId="0" applyNumberFormat="1" applyFont="1" applyFill="1" applyBorder="1" applyAlignment="1"/>
    <xf numFmtId="0" fontId="6" fillId="26" borderId="9" xfId="0" applyFont="1" applyFill="1" applyBorder="1" applyAlignment="1"/>
    <xf numFmtId="0" fontId="3" fillId="26" borderId="9" xfId="0" applyFont="1" applyFill="1" applyBorder="1" applyAlignment="1"/>
    <xf numFmtId="0" fontId="3" fillId="26" borderId="10" xfId="0" applyFont="1" applyFill="1" applyBorder="1" applyAlignment="1"/>
    <xf numFmtId="0" fontId="6" fillId="26" borderId="10" xfId="0" applyFont="1" applyFill="1" applyBorder="1" applyAlignment="1">
      <alignment horizontal="center" wrapText="1"/>
    </xf>
    <xf numFmtId="187" fontId="6" fillId="26" borderId="10" xfId="0" applyNumberFormat="1" applyFont="1" applyFill="1" applyBorder="1" applyAlignment="1"/>
    <xf numFmtId="189" fontId="6" fillId="26" borderId="10" xfId="0" applyNumberFormat="1" applyFont="1" applyFill="1" applyBorder="1" applyAlignment="1"/>
    <xf numFmtId="189" fontId="3" fillId="26" borderId="10" xfId="0" applyNumberFormat="1" applyFont="1" applyFill="1" applyBorder="1" applyAlignment="1"/>
    <xf numFmtId="0" fontId="18" fillId="2" borderId="9" xfId="0" quotePrefix="1" applyFont="1" applyFill="1" applyBorder="1" applyAlignment="1"/>
    <xf numFmtId="188" fontId="6" fillId="0" borderId="10" xfId="0" applyNumberFormat="1" applyFont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6" borderId="10" xfId="0" applyFont="1" applyFill="1" applyBorder="1" applyAlignment="1">
      <alignment horizontal="center"/>
    </xf>
    <xf numFmtId="189" fontId="8" fillId="2" borderId="10" xfId="0" applyNumberFormat="1" applyFont="1" applyFill="1" applyBorder="1" applyAlignment="1">
      <alignment horizontal="right"/>
    </xf>
    <xf numFmtId="0" fontId="8" fillId="0" borderId="10" xfId="0" applyFont="1" applyBorder="1" applyAlignment="1"/>
    <xf numFmtId="0" fontId="8" fillId="0" borderId="10" xfId="0" applyFont="1" applyBorder="1" applyAlignment="1">
      <alignment horizontal="center"/>
    </xf>
    <xf numFmtId="188" fontId="3" fillId="27" borderId="8" xfId="0" applyNumberFormat="1" applyFont="1" applyFill="1" applyBorder="1" applyAlignment="1"/>
    <xf numFmtId="188" fontId="3" fillId="27" borderId="9" xfId="0" applyNumberFormat="1" applyFont="1" applyFill="1" applyBorder="1" applyAlignment="1"/>
    <xf numFmtId="0" fontId="3" fillId="27" borderId="9" xfId="0" applyFont="1" applyFill="1" applyBorder="1" applyAlignment="1"/>
    <xf numFmtId="0" fontId="3" fillId="27" borderId="10" xfId="0" applyFont="1" applyFill="1" applyBorder="1" applyAlignment="1"/>
    <xf numFmtId="188" fontId="3" fillId="27" borderId="10" xfId="0" applyNumberFormat="1" applyFont="1" applyFill="1" applyBorder="1" applyAlignment="1"/>
    <xf numFmtId="187" fontId="3" fillId="27" borderId="10" xfId="0" applyNumberFormat="1" applyFont="1" applyFill="1" applyBorder="1" applyAlignment="1"/>
    <xf numFmtId="189" fontId="3" fillId="27" borderId="10" xfId="0" applyNumberFormat="1" applyFont="1" applyFill="1" applyBorder="1" applyAlignment="1"/>
    <xf numFmtId="188" fontId="8" fillId="0" borderId="9" xfId="0" quotePrefix="1" applyNumberFormat="1" applyFont="1" applyBorder="1" applyAlignment="1"/>
    <xf numFmtId="0" fontId="17" fillId="27" borderId="9" xfId="0" applyFont="1" applyFill="1" applyBorder="1" applyAlignment="1"/>
    <xf numFmtId="0" fontId="17" fillId="27" borderId="10" xfId="0" applyFont="1" applyFill="1" applyBorder="1" applyAlignment="1">
      <alignment horizontal="center" wrapText="1"/>
    </xf>
    <xf numFmtId="190" fontId="3" fillId="27" borderId="8" xfId="0" applyNumberFormat="1" applyFont="1" applyFill="1" applyBorder="1" applyAlignment="1"/>
    <xf numFmtId="0" fontId="17" fillId="27" borderId="9" xfId="0" applyFont="1" applyFill="1" applyBorder="1" applyAlignment="1"/>
    <xf numFmtId="0" fontId="19" fillId="27" borderId="9" xfId="0" applyFont="1" applyFill="1" applyBorder="1" applyAlignment="1"/>
    <xf numFmtId="188" fontId="17" fillId="27" borderId="10" xfId="0" applyNumberFormat="1" applyFont="1" applyFill="1" applyBorder="1" applyAlignment="1">
      <alignment horizontal="center" wrapText="1"/>
    </xf>
    <xf numFmtId="0" fontId="9" fillId="27" borderId="9" xfId="0" applyFont="1" applyFill="1" applyBorder="1" applyAlignment="1"/>
    <xf numFmtId="188" fontId="9" fillId="27" borderId="10" xfId="0" applyNumberFormat="1" applyFont="1" applyFill="1" applyBorder="1" applyAlignment="1">
      <alignment horizontal="center" wrapText="1"/>
    </xf>
    <xf numFmtId="188" fontId="17" fillId="27" borderId="9" xfId="0" applyNumberFormat="1" applyFont="1" applyFill="1" applyBorder="1" applyAlignment="1"/>
    <xf numFmtId="0" fontId="20" fillId="27" borderId="9" xfId="0" quotePrefix="1" applyFont="1" applyFill="1" applyBorder="1" applyAlignment="1"/>
    <xf numFmtId="0" fontId="9" fillId="27" borderId="10" xfId="0" applyFont="1" applyFill="1" applyBorder="1" applyAlignment="1">
      <alignment horizontal="center"/>
    </xf>
    <xf numFmtId="188" fontId="9" fillId="27" borderId="9" xfId="0" quotePrefix="1" applyNumberFormat="1" applyFont="1" applyFill="1" applyBorder="1" applyAlignment="1"/>
    <xf numFmtId="0" fontId="9" fillId="27" borderId="9" xfId="0" quotePrefix="1" applyFont="1" applyFill="1" applyBorder="1" applyAlignment="1"/>
    <xf numFmtId="0" fontId="8" fillId="2" borderId="9" xfId="0" applyFont="1" applyFill="1" applyBorder="1" applyAlignment="1"/>
    <xf numFmtId="46" fontId="3" fillId="2" borderId="8" xfId="0" applyNumberFormat="1" applyFont="1" applyFill="1" applyBorder="1" applyAlignment="1"/>
    <xf numFmtId="0" fontId="8" fillId="2" borderId="9" xfId="0" quotePrefix="1" applyFont="1" applyFill="1" applyBorder="1" applyAlignment="1"/>
    <xf numFmtId="188" fontId="3" fillId="0" borderId="7" xfId="0" applyNumberFormat="1" applyFont="1" applyBorder="1" applyAlignment="1"/>
    <xf numFmtId="188" fontId="3" fillId="0" borderId="1" xfId="0" applyNumberFormat="1" applyFont="1" applyBorder="1" applyAlignment="1"/>
    <xf numFmtId="0" fontId="8" fillId="0" borderId="1" xfId="0" quotePrefix="1" applyFont="1" applyBorder="1" applyAlignment="1"/>
    <xf numFmtId="0" fontId="3" fillId="0" borderId="1" xfId="0" applyFont="1" applyBorder="1" applyAlignment="1"/>
    <xf numFmtId="0" fontId="3" fillId="0" borderId="2" xfId="0" applyFont="1" applyBorder="1" applyAlignment="1"/>
    <xf numFmtId="189" fontId="8" fillId="0" borderId="2" xfId="0" applyNumberFormat="1" applyFont="1" applyBorder="1" applyAlignment="1">
      <alignment horizontal="right"/>
    </xf>
    <xf numFmtId="189" fontId="3" fillId="0" borderId="2" xfId="0" applyNumberFormat="1" applyFont="1" applyBorder="1" applyAlignment="1"/>
    <xf numFmtId="188" fontId="4" fillId="28" borderId="7" xfId="0" applyNumberFormat="1" applyFont="1" applyFill="1" applyBorder="1" applyAlignment="1"/>
    <xf numFmtId="188" fontId="3" fillId="28" borderId="1" xfId="0" applyNumberFormat="1" applyFont="1" applyFill="1" applyBorder="1" applyAlignment="1"/>
    <xf numFmtId="0" fontId="3" fillId="28" borderId="1" xfId="0" applyFont="1" applyFill="1" applyBorder="1" applyAlignment="1"/>
    <xf numFmtId="187" fontId="3" fillId="28" borderId="1" xfId="0" applyNumberFormat="1" applyFont="1" applyFill="1" applyBorder="1" applyAlignment="1"/>
    <xf numFmtId="189" fontId="3" fillId="28" borderId="1" xfId="0" applyNumberFormat="1" applyFont="1" applyFill="1" applyBorder="1" applyAlignment="1"/>
    <xf numFmtId="189" fontId="3" fillId="28" borderId="2" xfId="0" applyNumberFormat="1" applyFont="1" applyFill="1" applyBorder="1" applyAlignment="1"/>
    <xf numFmtId="188" fontId="6" fillId="29" borderId="8" xfId="0" applyNumberFormat="1" applyFont="1" applyFill="1" applyBorder="1" applyAlignment="1"/>
    <xf numFmtId="0" fontId="3" fillId="29" borderId="9" xfId="0" applyFont="1" applyFill="1" applyBorder="1" applyAlignment="1"/>
    <xf numFmtId="188" fontId="3" fillId="29" borderId="9" xfId="0" applyNumberFormat="1" applyFont="1" applyFill="1" applyBorder="1" applyAlignment="1"/>
    <xf numFmtId="187" fontId="3" fillId="29" borderId="9" xfId="0" applyNumberFormat="1" applyFont="1" applyFill="1" applyBorder="1" applyAlignment="1"/>
    <xf numFmtId="187" fontId="3" fillId="29" borderId="10" xfId="0" applyNumberFormat="1" applyFont="1" applyFill="1" applyBorder="1" applyAlignment="1"/>
    <xf numFmtId="189" fontId="3" fillId="29" borderId="10" xfId="0" applyNumberFormat="1" applyFont="1" applyFill="1" applyBorder="1" applyAlignment="1"/>
    <xf numFmtId="190" fontId="3" fillId="30" borderId="8" xfId="0" applyNumberFormat="1" applyFont="1" applyFill="1" applyBorder="1" applyAlignment="1"/>
    <xf numFmtId="0" fontId="6" fillId="30" borderId="9" xfId="0" applyFont="1" applyFill="1" applyBorder="1" applyAlignment="1"/>
    <xf numFmtId="0" fontId="3" fillId="30" borderId="9" xfId="0" applyFont="1" applyFill="1" applyBorder="1" applyAlignment="1"/>
    <xf numFmtId="188" fontId="3" fillId="30" borderId="9" xfId="0" applyNumberFormat="1" applyFont="1" applyFill="1" applyBorder="1" applyAlignment="1"/>
    <xf numFmtId="0" fontId="3" fillId="30" borderId="10" xfId="0" applyFont="1" applyFill="1" applyBorder="1" applyAlignment="1"/>
    <xf numFmtId="0" fontId="6" fillId="30" borderId="10" xfId="0" applyFont="1" applyFill="1" applyBorder="1" applyAlignment="1">
      <alignment horizontal="center" wrapText="1"/>
    </xf>
    <xf numFmtId="187" fontId="6" fillId="30" borderId="10" xfId="0" applyNumberFormat="1" applyFont="1" applyFill="1" applyBorder="1" applyAlignment="1"/>
    <xf numFmtId="189" fontId="6" fillId="30" borderId="10" xfId="0" applyNumberFormat="1" applyFont="1" applyFill="1" applyBorder="1" applyAlignment="1"/>
    <xf numFmtId="189" fontId="3" fillId="30" borderId="10" xfId="0" applyNumberFormat="1" applyFont="1" applyFill="1" applyBorder="1" applyAlignment="1"/>
    <xf numFmtId="0" fontId="6" fillId="0" borderId="9" xfId="0" applyFont="1" applyBorder="1" applyAlignment="1"/>
    <xf numFmtId="188" fontId="3" fillId="10" borderId="7" xfId="0" applyNumberFormat="1" applyFont="1" applyFill="1" applyBorder="1" applyAlignment="1"/>
    <xf numFmtId="188" fontId="3" fillId="10" borderId="1" xfId="0" applyNumberFormat="1" applyFont="1" applyFill="1" applyBorder="1" applyAlignment="1"/>
    <xf numFmtId="188" fontId="6" fillId="31" borderId="7" xfId="0" applyNumberFormat="1" applyFont="1" applyFill="1" applyBorder="1" applyAlignment="1"/>
    <xf numFmtId="188" fontId="3" fillId="31" borderId="1" xfId="0" applyNumberFormat="1" applyFont="1" applyFill="1" applyBorder="1" applyAlignment="1"/>
    <xf numFmtId="0" fontId="3" fillId="31" borderId="1" xfId="0" applyFont="1" applyFill="1" applyBorder="1" applyAlignment="1"/>
    <xf numFmtId="187" fontId="3" fillId="31" borderId="1" xfId="0" applyNumberFormat="1" applyFont="1" applyFill="1" applyBorder="1" applyAlignment="1"/>
    <xf numFmtId="189" fontId="3" fillId="31" borderId="1" xfId="0" applyNumberFormat="1" applyFont="1" applyFill="1" applyBorder="1" applyAlignment="1"/>
    <xf numFmtId="189" fontId="3" fillId="31" borderId="2" xfId="0" applyNumberFormat="1" applyFont="1" applyFill="1" applyBorder="1" applyAlignment="1"/>
    <xf numFmtId="188" fontId="6" fillId="32" borderId="8" xfId="0" applyNumberFormat="1" applyFont="1" applyFill="1" applyBorder="1" applyAlignment="1"/>
    <xf numFmtId="188" fontId="3" fillId="32" borderId="9" xfId="0" applyNumberFormat="1" applyFont="1" applyFill="1" applyBorder="1" applyAlignment="1"/>
    <xf numFmtId="0" fontId="3" fillId="32" borderId="9" xfId="0" applyFont="1" applyFill="1" applyBorder="1" applyAlignment="1"/>
    <xf numFmtId="0" fontId="3" fillId="32" borderId="10" xfId="0" applyFont="1" applyFill="1" applyBorder="1" applyAlignment="1"/>
    <xf numFmtId="187" fontId="3" fillId="32" borderId="10" xfId="0" applyNumberFormat="1" applyFont="1" applyFill="1" applyBorder="1" applyAlignment="1"/>
    <xf numFmtId="189" fontId="3" fillId="32" borderId="10" xfId="0" applyNumberFormat="1" applyFont="1" applyFill="1" applyBorder="1" applyAlignment="1"/>
    <xf numFmtId="188" fontId="3" fillId="33" borderId="8" xfId="0" applyNumberFormat="1" applyFont="1" applyFill="1" applyBorder="1" applyAlignment="1"/>
    <xf numFmtId="0" fontId="6" fillId="33" borderId="9" xfId="0" applyFont="1" applyFill="1" applyBorder="1" applyAlignment="1"/>
    <xf numFmtId="0" fontId="3" fillId="33" borderId="9" xfId="0" applyFont="1" applyFill="1" applyBorder="1" applyAlignment="1"/>
    <xf numFmtId="0" fontId="3" fillId="33" borderId="10" xfId="0" applyFont="1" applyFill="1" applyBorder="1" applyAlignment="1"/>
    <xf numFmtId="0" fontId="6" fillId="33" borderId="10" xfId="0" applyFont="1" applyFill="1" applyBorder="1" applyAlignment="1">
      <alignment horizontal="center" wrapText="1"/>
    </xf>
    <xf numFmtId="187" fontId="6" fillId="33" borderId="10" xfId="0" applyNumberFormat="1" applyFont="1" applyFill="1" applyBorder="1" applyAlignment="1"/>
    <xf numFmtId="189" fontId="6" fillId="33" borderId="10" xfId="0" applyNumberFormat="1" applyFont="1" applyFill="1" applyBorder="1" applyAlignment="1"/>
    <xf numFmtId="189" fontId="3" fillId="33" borderId="10" xfId="0" applyNumberFormat="1" applyFont="1" applyFill="1" applyBorder="1" applyAlignment="1"/>
    <xf numFmtId="190" fontId="3" fillId="33" borderId="8" xfId="0" applyNumberFormat="1" applyFont="1" applyFill="1" applyBorder="1" applyAlignment="1"/>
    <xf numFmtId="190" fontId="3" fillId="33" borderId="9" xfId="0" applyNumberFormat="1" applyFont="1" applyFill="1" applyBorder="1" applyAlignment="1"/>
    <xf numFmtId="188" fontId="3" fillId="33" borderId="9" xfId="0" applyNumberFormat="1" applyFont="1" applyFill="1" applyBorder="1" applyAlignment="1"/>
    <xf numFmtId="0" fontId="6" fillId="23" borderId="9" xfId="0" applyFont="1" applyFill="1" applyBorder="1" applyAlignment="1"/>
    <xf numFmtId="188" fontId="21" fillId="26" borderId="9" xfId="0" applyNumberFormat="1" applyFont="1" applyFill="1" applyBorder="1" applyAlignment="1"/>
    <xf numFmtId="187" fontId="6" fillId="26" borderId="10" xfId="0" applyNumberFormat="1" applyFont="1" applyFill="1" applyBorder="1" applyAlignment="1">
      <alignment horizontal="right"/>
    </xf>
    <xf numFmtId="189" fontId="6" fillId="26" borderId="10" xfId="0" applyNumberFormat="1" applyFont="1" applyFill="1" applyBorder="1" applyAlignment="1">
      <alignment horizontal="right"/>
    </xf>
    <xf numFmtId="188" fontId="22" fillId="2" borderId="9" xfId="0" applyNumberFormat="1" applyFont="1" applyFill="1" applyBorder="1" applyAlignment="1"/>
    <xf numFmtId="0" fontId="23" fillId="26" borderId="9" xfId="0" applyFont="1" applyFill="1" applyBorder="1" applyAlignment="1"/>
    <xf numFmtId="187" fontId="3" fillId="33" borderId="10" xfId="0" applyNumberFormat="1" applyFont="1" applyFill="1" applyBorder="1" applyAlignment="1"/>
    <xf numFmtId="0" fontId="6" fillId="26" borderId="10" xfId="0" applyFont="1" applyFill="1" applyBorder="1" applyAlignment="1">
      <alignment horizontal="center"/>
    </xf>
    <xf numFmtId="0" fontId="8" fillId="0" borderId="9" xfId="0" quotePrefix="1" applyFont="1" applyBorder="1" applyAlignment="1"/>
    <xf numFmtId="188" fontId="22" fillId="2" borderId="1" xfId="0" applyNumberFormat="1" applyFont="1" applyFill="1" applyBorder="1" applyAlignment="1"/>
    <xf numFmtId="188" fontId="6" fillId="33" borderId="9" xfId="0" applyNumberFormat="1" applyFont="1" applyFill="1" applyBorder="1" applyAlignment="1"/>
    <xf numFmtId="188" fontId="6" fillId="33" borderId="10" xfId="0" applyNumberFormat="1" applyFont="1" applyFill="1" applyBorder="1" applyAlignment="1">
      <alignment horizontal="center" wrapText="1"/>
    </xf>
    <xf numFmtId="188" fontId="24" fillId="2" borderId="9" xfId="0" applyNumberFormat="1" applyFont="1" applyFill="1" applyBorder="1" applyAlignment="1"/>
    <xf numFmtId="188" fontId="25" fillId="23" borderId="9" xfId="0" quotePrefix="1" applyNumberFormat="1" applyFont="1" applyFill="1" applyBorder="1" applyAlignment="1"/>
    <xf numFmtId="188" fontId="9" fillId="2" borderId="9" xfId="0" applyNumberFormat="1" applyFont="1" applyFill="1" applyBorder="1" applyAlignment="1"/>
    <xf numFmtId="187" fontId="9" fillId="2" borderId="10" xfId="0" applyNumberFormat="1" applyFont="1" applyFill="1" applyBorder="1" applyAlignment="1"/>
    <xf numFmtId="188" fontId="3" fillId="27" borderId="1" xfId="0" applyNumberFormat="1" applyFont="1" applyFill="1" applyBorder="1" applyAlignment="1"/>
    <xf numFmtId="188" fontId="3" fillId="27" borderId="2" xfId="0" applyNumberFormat="1" applyFont="1" applyFill="1" applyBorder="1" applyAlignment="1"/>
    <xf numFmtId="187" fontId="3" fillId="27" borderId="2" xfId="0" applyNumberFormat="1" applyFont="1" applyFill="1" applyBorder="1" applyAlignment="1"/>
    <xf numFmtId="189" fontId="3" fillId="27" borderId="2" xfId="0" applyNumberFormat="1" applyFont="1" applyFill="1" applyBorder="1" applyAlignment="1"/>
    <xf numFmtId="188" fontId="3" fillId="33" borderId="10" xfId="0" applyNumberFormat="1" applyFont="1" applyFill="1" applyBorder="1" applyAlignment="1"/>
    <xf numFmtId="188" fontId="6" fillId="33" borderId="10" xfId="0" applyNumberFormat="1" applyFont="1" applyFill="1" applyBorder="1" applyAlignment="1">
      <alignment horizontal="center"/>
    </xf>
    <xf numFmtId="188" fontId="6" fillId="2" borderId="9" xfId="0" applyNumberFormat="1" applyFont="1" applyFill="1" applyBorder="1" applyAlignment="1">
      <alignment horizontal="center"/>
    </xf>
    <xf numFmtId="188" fontId="6" fillId="2" borderId="10" xfId="0" applyNumberFormat="1" applyFont="1" applyFill="1" applyBorder="1" applyAlignment="1">
      <alignment horizontal="center" wrapText="1"/>
    </xf>
    <xf numFmtId="188" fontId="27" fillId="2" borderId="9" xfId="0" quotePrefix="1" applyNumberFormat="1" applyFont="1" applyFill="1" applyBorder="1" applyAlignment="1"/>
    <xf numFmtId="188" fontId="6" fillId="2" borderId="9" xfId="0" applyNumberFormat="1" applyFont="1" applyFill="1" applyBorder="1" applyAlignment="1"/>
    <xf numFmtId="191" fontId="8" fillId="2" borderId="10" xfId="0" applyNumberFormat="1" applyFont="1" applyFill="1" applyBorder="1" applyAlignment="1"/>
    <xf numFmtId="188" fontId="8" fillId="2" borderId="9" xfId="0" quotePrefix="1" applyNumberFormat="1" applyFont="1" applyFill="1" applyBorder="1" applyAlignment="1"/>
    <xf numFmtId="188" fontId="28" fillId="2" borderId="9" xfId="0" applyNumberFormat="1" applyFont="1" applyFill="1" applyBorder="1" applyAlignment="1"/>
    <xf numFmtId="187" fontId="6" fillId="2" borderId="10" xfId="0" applyNumberFormat="1" applyFont="1" applyFill="1" applyBorder="1" applyAlignment="1">
      <alignment horizontal="right"/>
    </xf>
    <xf numFmtId="188" fontId="3" fillId="2" borderId="7" xfId="0" applyNumberFormat="1" applyFont="1" applyFill="1" applyBorder="1" applyAlignment="1"/>
    <xf numFmtId="188" fontId="3" fillId="2" borderId="2" xfId="0" applyNumberFormat="1" applyFont="1" applyFill="1" applyBorder="1" applyAlignment="1"/>
    <xf numFmtId="188" fontId="8" fillId="2" borderId="2" xfId="0" applyNumberFormat="1" applyFont="1" applyFill="1" applyBorder="1" applyAlignment="1">
      <alignment horizontal="center"/>
    </xf>
    <xf numFmtId="0" fontId="29" fillId="2" borderId="9" xfId="0" applyFont="1" applyFill="1" applyBorder="1" applyAlignment="1"/>
    <xf numFmtId="188" fontId="6" fillId="2" borderId="1" xfId="0" applyNumberFormat="1" applyFont="1" applyFill="1" applyBorder="1" applyAlignment="1"/>
    <xf numFmtId="187" fontId="8" fillId="24" borderId="2" xfId="0" applyNumberFormat="1" applyFont="1" applyFill="1" applyBorder="1" applyAlignment="1"/>
    <xf numFmtId="188" fontId="6" fillId="34" borderId="7" xfId="0" applyNumberFormat="1" applyFont="1" applyFill="1" applyBorder="1" applyAlignment="1"/>
    <xf numFmtId="188" fontId="3" fillId="34" borderId="1" xfId="0" applyNumberFormat="1" applyFont="1" applyFill="1" applyBorder="1" applyAlignment="1"/>
    <xf numFmtId="0" fontId="3" fillId="34" borderId="1" xfId="0" applyFont="1" applyFill="1" applyBorder="1" applyAlignment="1"/>
    <xf numFmtId="187" fontId="3" fillId="34" borderId="1" xfId="0" applyNumberFormat="1" applyFont="1" applyFill="1" applyBorder="1" applyAlignment="1"/>
    <xf numFmtId="189" fontId="3" fillId="34" borderId="1" xfId="0" applyNumberFormat="1" applyFont="1" applyFill="1" applyBorder="1" applyAlignment="1"/>
    <xf numFmtId="189" fontId="3" fillId="34" borderId="2" xfId="0" applyNumberFormat="1" applyFont="1" applyFill="1" applyBorder="1" applyAlignment="1"/>
    <xf numFmtId="189" fontId="3" fillId="35" borderId="2" xfId="0" applyNumberFormat="1" applyFont="1" applyFill="1" applyBorder="1" applyAlignment="1"/>
    <xf numFmtId="188" fontId="6" fillId="36" borderId="8" xfId="0" applyNumberFormat="1" applyFont="1" applyFill="1" applyBorder="1" applyAlignment="1"/>
    <xf numFmtId="188" fontId="3" fillId="36" borderId="9" xfId="0" applyNumberFormat="1" applyFont="1" applyFill="1" applyBorder="1" applyAlignment="1"/>
    <xf numFmtId="0" fontId="3" fillId="36" borderId="9" xfId="0" applyFont="1" applyFill="1" applyBorder="1" applyAlignment="1"/>
    <xf numFmtId="0" fontId="3" fillId="36" borderId="10" xfId="0" applyFont="1" applyFill="1" applyBorder="1" applyAlignment="1"/>
    <xf numFmtId="187" fontId="3" fillId="36" borderId="10" xfId="0" applyNumberFormat="1" applyFont="1" applyFill="1" applyBorder="1" applyAlignment="1"/>
    <xf numFmtId="189" fontId="3" fillId="36" borderId="10" xfId="0" applyNumberFormat="1" applyFont="1" applyFill="1" applyBorder="1" applyAlignment="1"/>
    <xf numFmtId="189" fontId="3" fillId="36" borderId="6" xfId="0" applyNumberFormat="1" applyFont="1" applyFill="1" applyBorder="1" applyAlignment="1"/>
    <xf numFmtId="188" fontId="3" fillId="37" borderId="8" xfId="0" applyNumberFormat="1" applyFont="1" applyFill="1" applyBorder="1" applyAlignment="1"/>
    <xf numFmtId="0" fontId="6" fillId="37" borderId="9" xfId="0" applyFont="1" applyFill="1" applyBorder="1" applyAlignment="1"/>
    <xf numFmtId="188" fontId="3" fillId="37" borderId="9" xfId="0" applyNumberFormat="1" applyFont="1" applyFill="1" applyBorder="1" applyAlignment="1"/>
    <xf numFmtId="0" fontId="3" fillId="37" borderId="9" xfId="0" applyFont="1" applyFill="1" applyBorder="1" applyAlignment="1"/>
    <xf numFmtId="0" fontId="3" fillId="37" borderId="10" xfId="0" applyFont="1" applyFill="1" applyBorder="1" applyAlignment="1"/>
    <xf numFmtId="0" fontId="6" fillId="37" borderId="10" xfId="0" applyFont="1" applyFill="1" applyBorder="1" applyAlignment="1">
      <alignment horizontal="center" wrapText="1"/>
    </xf>
    <xf numFmtId="187" fontId="6" fillId="37" borderId="10" xfId="0" applyNumberFormat="1" applyFont="1" applyFill="1" applyBorder="1" applyAlignment="1"/>
    <xf numFmtId="189" fontId="6" fillId="37" borderId="10" xfId="0" applyNumberFormat="1" applyFont="1" applyFill="1" applyBorder="1" applyAlignment="1"/>
    <xf numFmtId="189" fontId="3" fillId="37" borderId="10" xfId="0" applyNumberFormat="1" applyFont="1" applyFill="1" applyBorder="1" applyAlignment="1"/>
    <xf numFmtId="0" fontId="8" fillId="0" borderId="1" xfId="0" applyFont="1" applyBorder="1" applyAlignment="1"/>
    <xf numFmtId="0" fontId="8" fillId="2" borderId="2" xfId="0" applyFont="1" applyFill="1" applyBorder="1" applyAlignment="1">
      <alignment horizontal="center" wrapText="1"/>
    </xf>
    <xf numFmtId="188" fontId="3" fillId="27" borderId="7" xfId="0" applyNumberFormat="1" applyFont="1" applyFill="1" applyBorder="1" applyAlignment="1"/>
    <xf numFmtId="0" fontId="3" fillId="27" borderId="1" xfId="0" applyFont="1" applyFill="1" applyBorder="1" applyAlignment="1"/>
    <xf numFmtId="0" fontId="3" fillId="27" borderId="2" xfId="0" applyFont="1" applyFill="1" applyBorder="1" applyAlignment="1"/>
    <xf numFmtId="188" fontId="6" fillId="37" borderId="10" xfId="0" applyNumberFormat="1" applyFont="1" applyFill="1" applyBorder="1" applyAlignment="1">
      <alignment horizontal="center" wrapText="1"/>
    </xf>
    <xf numFmtId="187" fontId="3" fillId="37" borderId="10" xfId="0" applyNumberFormat="1" applyFont="1" applyFill="1" applyBorder="1" applyAlignment="1"/>
    <xf numFmtId="0" fontId="6" fillId="2" borderId="9" xfId="0" applyFont="1" applyFill="1" applyBorder="1" applyAlignment="1">
      <alignment horizontal="center"/>
    </xf>
    <xf numFmtId="188" fontId="17" fillId="22" borderId="8" xfId="0" applyNumberFormat="1" applyFont="1" applyFill="1" applyBorder="1" applyAlignment="1"/>
    <xf numFmtId="0" fontId="17" fillId="12" borderId="9" xfId="0" applyFont="1" applyFill="1" applyBorder="1" applyAlignment="1"/>
    <xf numFmtId="188" fontId="17" fillId="12" borderId="9" xfId="0" applyNumberFormat="1" applyFont="1" applyFill="1" applyBorder="1" applyAlignment="1">
      <alignment horizontal="center"/>
    </xf>
    <xf numFmtId="188" fontId="3" fillId="12" borderId="8" xfId="0" applyNumberFormat="1" applyFont="1" applyFill="1" applyBorder="1" applyAlignment="1"/>
    <xf numFmtId="188" fontId="9" fillId="12" borderId="9" xfId="0" applyNumberFormat="1" applyFont="1" applyFill="1" applyBorder="1" applyAlignment="1"/>
    <xf numFmtId="188" fontId="17" fillId="12" borderId="10" xfId="0" applyNumberFormat="1" applyFont="1" applyFill="1" applyBorder="1" applyAlignment="1">
      <alignment horizontal="center"/>
    </xf>
    <xf numFmtId="188" fontId="17" fillId="0" borderId="10" xfId="0" applyNumberFormat="1" applyFont="1" applyBorder="1" applyAlignment="1">
      <alignment horizontal="center" wrapText="1"/>
    </xf>
    <xf numFmtId="0" fontId="31" fillId="2" borderId="9" xfId="0" applyFont="1" applyFill="1" applyBorder="1" applyAlignment="1"/>
    <xf numFmtId="188" fontId="17" fillId="0" borderId="10" xfId="0" applyNumberFormat="1" applyFont="1" applyBorder="1" applyAlignment="1">
      <alignment horizontal="center"/>
    </xf>
    <xf numFmtId="188" fontId="9" fillId="0" borderId="10" xfId="0" applyNumberFormat="1" applyFont="1" applyBorder="1" applyAlignment="1">
      <alignment horizontal="center"/>
    </xf>
    <xf numFmtId="0" fontId="32" fillId="23" borderId="9" xfId="0" quotePrefix="1" applyFont="1" applyFill="1" applyBorder="1" applyAlignment="1"/>
    <xf numFmtId="188" fontId="9" fillId="0" borderId="9" xfId="0" applyNumberFormat="1" applyFont="1" applyBorder="1" applyAlignment="1"/>
    <xf numFmtId="188" fontId="3" fillId="0" borderId="11" xfId="0" applyNumberFormat="1" applyFont="1" applyBorder="1" applyAlignment="1"/>
    <xf numFmtId="188" fontId="3" fillId="0" borderId="12" xfId="0" applyNumberFormat="1" applyFont="1" applyBorder="1" applyAlignment="1"/>
    <xf numFmtId="188" fontId="9" fillId="0" borderId="12" xfId="0" applyNumberFormat="1" applyFont="1" applyBorder="1" applyAlignment="1"/>
    <xf numFmtId="0" fontId="3" fillId="0" borderId="12" xfId="0" applyFont="1" applyBorder="1" applyAlignment="1"/>
    <xf numFmtId="0" fontId="3" fillId="0" borderId="13" xfId="0" applyFont="1" applyBorder="1" applyAlignment="1"/>
    <xf numFmtId="188" fontId="9" fillId="0" borderId="13" xfId="0" applyNumberFormat="1" applyFont="1" applyBorder="1" applyAlignment="1">
      <alignment horizontal="center" wrapText="1"/>
    </xf>
    <xf numFmtId="187" fontId="3" fillId="2" borderId="13" xfId="0" applyNumberFormat="1" applyFont="1" applyFill="1" applyBorder="1" applyAlignment="1"/>
    <xf numFmtId="189" fontId="3" fillId="0" borderId="13" xfId="0" applyNumberFormat="1" applyFont="1" applyBorder="1" applyAlignment="1"/>
    <xf numFmtId="189" fontId="3" fillId="2" borderId="13" xfId="0" applyNumberFormat="1" applyFont="1" applyFill="1" applyBorder="1" applyAlignment="1"/>
    <xf numFmtId="188" fontId="4" fillId="38" borderId="7" xfId="0" applyNumberFormat="1" applyFont="1" applyFill="1" applyBorder="1" applyAlignment="1"/>
    <xf numFmtId="188" fontId="3" fillId="38" borderId="1" xfId="0" applyNumberFormat="1" applyFont="1" applyFill="1" applyBorder="1" applyAlignment="1"/>
    <xf numFmtId="0" fontId="3" fillId="38" borderId="1" xfId="0" applyFont="1" applyFill="1" applyBorder="1" applyAlignment="1"/>
    <xf numFmtId="0" fontId="3" fillId="38" borderId="2" xfId="0" applyFont="1" applyFill="1" applyBorder="1" applyAlignment="1"/>
    <xf numFmtId="188" fontId="3" fillId="38" borderId="2" xfId="0" applyNumberFormat="1" applyFont="1" applyFill="1" applyBorder="1" applyAlignment="1"/>
    <xf numFmtId="187" fontId="3" fillId="38" borderId="2" xfId="0" applyNumberFormat="1" applyFont="1" applyFill="1" applyBorder="1" applyAlignment="1"/>
    <xf numFmtId="189" fontId="3" fillId="38" borderId="2" xfId="0" applyNumberFormat="1" applyFont="1" applyFill="1" applyBorder="1" applyAlignment="1"/>
    <xf numFmtId="188" fontId="3" fillId="39" borderId="9" xfId="0" applyNumberFormat="1" applyFont="1" applyFill="1" applyBorder="1" applyAlignment="1"/>
    <xf numFmtId="188" fontId="6" fillId="39" borderId="9" xfId="0" applyNumberFormat="1" applyFont="1" applyFill="1" applyBorder="1" applyAlignment="1"/>
    <xf numFmtId="0" fontId="3" fillId="39" borderId="9" xfId="0" applyFont="1" applyFill="1" applyBorder="1" applyAlignment="1"/>
    <xf numFmtId="0" fontId="3" fillId="39" borderId="10" xfId="0" applyFont="1" applyFill="1" applyBorder="1" applyAlignment="1"/>
    <xf numFmtId="188" fontId="3" fillId="39" borderId="10" xfId="0" applyNumberFormat="1" applyFont="1" applyFill="1" applyBorder="1" applyAlignment="1"/>
    <xf numFmtId="187" fontId="3" fillId="39" borderId="10" xfId="0" applyNumberFormat="1" applyFont="1" applyFill="1" applyBorder="1" applyAlignment="1"/>
    <xf numFmtId="189" fontId="3" fillId="39" borderId="10" xfId="0" applyNumberFormat="1" applyFont="1" applyFill="1" applyBorder="1" applyAlignment="1"/>
    <xf numFmtId="188" fontId="3" fillId="40" borderId="9" xfId="0" applyNumberFormat="1" applyFont="1" applyFill="1" applyBorder="1" applyAlignment="1"/>
    <xf numFmtId="188" fontId="6" fillId="40" borderId="9" xfId="0" applyNumberFormat="1" applyFont="1" applyFill="1" applyBorder="1" applyAlignment="1"/>
    <xf numFmtId="0" fontId="3" fillId="40" borderId="9" xfId="0" applyFont="1" applyFill="1" applyBorder="1" applyAlignment="1"/>
    <xf numFmtId="0" fontId="3" fillId="40" borderId="10" xfId="0" applyFont="1" applyFill="1" applyBorder="1" applyAlignment="1"/>
    <xf numFmtId="188" fontId="6" fillId="40" borderId="10" xfId="0" applyNumberFormat="1" applyFont="1" applyFill="1" applyBorder="1" applyAlignment="1">
      <alignment horizontal="center"/>
    </xf>
    <xf numFmtId="187" fontId="6" fillId="40" borderId="10" xfId="0" applyNumberFormat="1" applyFont="1" applyFill="1" applyBorder="1" applyAlignment="1"/>
    <xf numFmtId="189" fontId="6" fillId="40" borderId="10" xfId="0" applyNumberFormat="1" applyFont="1" applyFill="1" applyBorder="1" applyAlignment="1"/>
    <xf numFmtId="189" fontId="3" fillId="40" borderId="10" xfId="0" applyNumberFormat="1" applyFont="1" applyFill="1" applyBorder="1" applyAlignment="1"/>
    <xf numFmtId="188" fontId="34" fillId="23" borderId="9" xfId="0" applyNumberFormat="1" applyFont="1" applyFill="1" applyBorder="1" applyAlignment="1"/>
    <xf numFmtId="188" fontId="8" fillId="0" borderId="9" xfId="0" applyNumberFormat="1" applyFont="1" applyBorder="1" applyAlignment="1"/>
    <xf numFmtId="188" fontId="6" fillId="0" borderId="10" xfId="0" applyNumberFormat="1" applyFont="1" applyBorder="1" applyAlignment="1">
      <alignment horizontal="center"/>
    </xf>
    <xf numFmtId="188" fontId="3" fillId="40" borderId="10" xfId="0" applyNumberFormat="1" applyFont="1" applyFill="1" applyBorder="1" applyAlignment="1"/>
    <xf numFmtId="187" fontId="3" fillId="40" borderId="10" xfId="0" applyNumberFormat="1" applyFont="1" applyFill="1" applyBorder="1" applyAlignment="1"/>
    <xf numFmtId="188" fontId="8" fillId="2" borderId="9" xfId="0" applyNumberFormat="1" applyFont="1" applyFill="1" applyBorder="1" applyAlignment="1"/>
    <xf numFmtId="0" fontId="35" fillId="23" borderId="9" xfId="0" applyFont="1" applyFill="1" applyBorder="1" applyAlignment="1"/>
    <xf numFmtId="188" fontId="8" fillId="2" borderId="10" xfId="0" applyNumberFormat="1" applyFont="1" applyFill="1" applyBorder="1" applyAlignment="1"/>
    <xf numFmtId="192" fontId="3" fillId="2" borderId="10" xfId="0" applyNumberFormat="1" applyFont="1" applyFill="1" applyBorder="1" applyAlignment="1"/>
    <xf numFmtId="188" fontId="6" fillId="2" borderId="10" xfId="0" applyNumberFormat="1" applyFont="1" applyFill="1" applyBorder="1" applyAlignment="1"/>
    <xf numFmtId="188" fontId="8" fillId="24" borderId="10" xfId="0" applyNumberFormat="1" applyFont="1" applyFill="1" applyBorder="1" applyAlignment="1"/>
    <xf numFmtId="188" fontId="36" fillId="0" borderId="1" xfId="0" applyNumberFormat="1" applyFont="1" applyBorder="1" applyAlignment="1"/>
    <xf numFmtId="192" fontId="3" fillId="2" borderId="2" xfId="0" applyNumberFormat="1" applyFont="1" applyFill="1" applyBorder="1" applyAlignment="1"/>
    <xf numFmtId="188" fontId="8" fillId="39" borderId="10" xfId="0" applyNumberFormat="1" applyFont="1" applyFill="1" applyBorder="1" applyAlignment="1">
      <alignment horizontal="center"/>
    </xf>
    <xf numFmtId="187" fontId="8" fillId="39" borderId="10" xfId="0" applyNumberFormat="1" applyFont="1" applyFill="1" applyBorder="1" applyAlignment="1"/>
    <xf numFmtId="189" fontId="6" fillId="39" borderId="10" xfId="0" applyNumberFormat="1" applyFont="1" applyFill="1" applyBorder="1" applyAlignment="1"/>
    <xf numFmtId="0" fontId="6" fillId="0" borderId="9" xfId="0" quotePrefix="1" applyFont="1" applyBorder="1" applyAlignment="1"/>
    <xf numFmtId="0" fontId="37" fillId="0" borderId="9" xfId="0" applyFont="1" applyBorder="1" applyAlignment="1"/>
    <xf numFmtId="188" fontId="17" fillId="39" borderId="9" xfId="0" applyNumberFormat="1" applyFont="1" applyFill="1" applyBorder="1" applyAlignment="1"/>
    <xf numFmtId="188" fontId="17" fillId="39" borderId="10" xfId="0" applyNumberFormat="1" applyFont="1" applyFill="1" applyBorder="1" applyAlignment="1">
      <alignment horizontal="center"/>
    </xf>
    <xf numFmtId="189" fontId="17" fillId="39" borderId="10" xfId="0" applyNumberFormat="1" applyFont="1" applyFill="1" applyBorder="1" applyAlignment="1"/>
    <xf numFmtId="188" fontId="9" fillId="2" borderId="9" xfId="0" applyNumberFormat="1" applyFont="1" applyFill="1" applyBorder="1" applyAlignment="1"/>
    <xf numFmtId="0" fontId="38" fillId="23" borderId="9" xfId="0" applyFont="1" applyFill="1" applyBorder="1" applyAlignment="1"/>
    <xf numFmtId="187" fontId="9" fillId="2" borderId="10" xfId="0" applyNumberFormat="1" applyFont="1" applyFill="1" applyBorder="1" applyAlignment="1">
      <alignment horizontal="right"/>
    </xf>
    <xf numFmtId="0" fontId="9" fillId="2" borderId="1" xfId="0" applyFont="1" applyFill="1" applyBorder="1" applyAlignment="1"/>
    <xf numFmtId="188" fontId="9" fillId="0" borderId="2" xfId="0" applyNumberFormat="1" applyFont="1" applyBorder="1" applyAlignment="1">
      <alignment horizontal="center" wrapText="1"/>
    </xf>
    <xf numFmtId="187" fontId="9" fillId="2" borderId="2" xfId="0" applyNumberFormat="1" applyFont="1" applyFill="1" applyBorder="1" applyAlignment="1">
      <alignment horizontal="right"/>
    </xf>
    <xf numFmtId="188" fontId="6" fillId="39" borderId="10" xfId="0" applyNumberFormat="1" applyFont="1" applyFill="1" applyBorder="1" applyAlignment="1">
      <alignment horizontal="center"/>
    </xf>
    <xf numFmtId="187" fontId="6" fillId="39" borderId="10" xfId="0" applyNumberFormat="1" applyFont="1" applyFill="1" applyBorder="1" applyAlignment="1"/>
    <xf numFmtId="188" fontId="3" fillId="39" borderId="8" xfId="0" applyNumberFormat="1" applyFont="1" applyFill="1" applyBorder="1" applyAlignment="1"/>
    <xf numFmtId="188" fontId="6" fillId="0" borderId="9" xfId="0" applyNumberFormat="1" applyFont="1" applyBorder="1" applyAlignment="1"/>
    <xf numFmtId="190" fontId="17" fillId="2" borderId="9" xfId="0" applyNumberFormat="1" applyFont="1" applyFill="1" applyBorder="1" applyAlignment="1">
      <alignment horizontal="center"/>
    </xf>
    <xf numFmtId="188" fontId="6" fillId="13" borderId="14" xfId="0" applyNumberFormat="1" applyFont="1" applyFill="1" applyBorder="1" applyAlignment="1"/>
    <xf numFmtId="188" fontId="3" fillId="13" borderId="15" xfId="0" applyNumberFormat="1" applyFont="1" applyFill="1" applyBorder="1" applyAlignment="1"/>
    <xf numFmtId="0" fontId="3" fillId="13" borderId="15" xfId="0" applyFont="1" applyFill="1" applyBorder="1" applyAlignment="1"/>
    <xf numFmtId="0" fontId="3" fillId="13" borderId="16" xfId="0" applyFont="1" applyFill="1" applyBorder="1" applyAlignment="1"/>
    <xf numFmtId="188" fontId="6" fillId="13" borderId="15" xfId="0" applyNumberFormat="1" applyFont="1" applyFill="1" applyBorder="1" applyAlignment="1"/>
    <xf numFmtId="187" fontId="3" fillId="13" borderId="15" xfId="0" applyNumberFormat="1" applyFont="1" applyFill="1" applyBorder="1" applyAlignment="1"/>
    <xf numFmtId="187" fontId="3" fillId="13" borderId="16" xfId="0" applyNumberFormat="1" applyFont="1" applyFill="1" applyBorder="1" applyAlignment="1"/>
    <xf numFmtId="189" fontId="3" fillId="13" borderId="16" xfId="0" applyNumberFormat="1" applyFont="1" applyFill="1" applyBorder="1" applyAlignment="1"/>
    <xf numFmtId="189" fontId="8" fillId="2" borderId="2" xfId="0" applyNumberFormat="1" applyFont="1" applyFill="1" applyBorder="1" applyAlignment="1">
      <alignment horizontal="right"/>
    </xf>
    <xf numFmtId="188" fontId="3" fillId="0" borderId="0" xfId="0" applyNumberFormat="1" applyFont="1" applyAlignment="1"/>
    <xf numFmtId="187" fontId="3" fillId="0" borderId="0" xfId="0" applyNumberFormat="1" applyFont="1" applyAlignment="1"/>
    <xf numFmtId="189" fontId="3" fillId="0" borderId="0" xfId="0" applyNumberFormat="1" applyFont="1" applyAlignment="1"/>
    <xf numFmtId="188" fontId="22" fillId="0" borderId="0" xfId="0" applyNumberFormat="1" applyFont="1" applyAlignment="1"/>
    <xf numFmtId="0" fontId="6" fillId="0" borderId="0" xfId="0" applyFont="1" applyAlignment="1">
      <alignment horizontal="center"/>
    </xf>
    <xf numFmtId="189" fontId="3" fillId="2" borderId="1" xfId="0" applyNumberFormat="1" applyFont="1" applyFill="1" applyBorder="1" applyAlignment="1"/>
    <xf numFmtId="0" fontId="4" fillId="5" borderId="6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189" fontId="3" fillId="10" borderId="17" xfId="0" applyNumberFormat="1" applyFont="1" applyFill="1" applyBorder="1" applyAlignment="1"/>
    <xf numFmtId="189" fontId="3" fillId="10" borderId="18" xfId="0" applyNumberFormat="1" applyFont="1" applyFill="1" applyBorder="1" applyAlignment="1"/>
    <xf numFmtId="189" fontId="3" fillId="11" borderId="17" xfId="0" applyNumberFormat="1" applyFont="1" applyFill="1" applyBorder="1" applyAlignment="1"/>
    <xf numFmtId="189" fontId="6" fillId="12" borderId="18" xfId="0" applyNumberFormat="1" applyFont="1" applyFill="1" applyBorder="1" applyAlignment="1">
      <alignment horizontal="right"/>
    </xf>
    <xf numFmtId="189" fontId="6" fillId="12" borderId="10" xfId="0" applyNumberFormat="1" applyFont="1" applyFill="1" applyBorder="1" applyAlignment="1">
      <alignment horizontal="right"/>
    </xf>
    <xf numFmtId="0" fontId="9" fillId="12" borderId="9" xfId="0" applyFont="1" applyFill="1" applyBorder="1" applyAlignment="1"/>
    <xf numFmtId="0" fontId="9" fillId="12" borderId="10" xfId="0" applyFont="1" applyFill="1" applyBorder="1" applyAlignment="1">
      <alignment horizontal="center"/>
    </xf>
    <xf numFmtId="189" fontId="9" fillId="12" borderId="18" xfId="0" applyNumberFormat="1" applyFont="1" applyFill="1" applyBorder="1" applyAlignment="1">
      <alignment horizontal="right"/>
    </xf>
    <xf numFmtId="189" fontId="9" fillId="12" borderId="10" xfId="0" applyNumberFormat="1" applyFont="1" applyFill="1" applyBorder="1" applyAlignment="1">
      <alignment horizontal="right"/>
    </xf>
    <xf numFmtId="189" fontId="8" fillId="12" borderId="18" xfId="0" applyNumberFormat="1" applyFont="1" applyFill="1" applyBorder="1" applyAlignment="1">
      <alignment horizontal="right"/>
    </xf>
    <xf numFmtId="189" fontId="8" fillId="12" borderId="10" xfId="0" applyNumberFormat="1" applyFont="1" applyFill="1" applyBorder="1" applyAlignment="1">
      <alignment horizontal="right"/>
    </xf>
    <xf numFmtId="189" fontId="8" fillId="2" borderId="18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horizontal="center"/>
    </xf>
    <xf numFmtId="189" fontId="9" fillId="2" borderId="18" xfId="0" applyNumberFormat="1" applyFont="1" applyFill="1" applyBorder="1" applyAlignment="1">
      <alignment horizontal="right"/>
    </xf>
    <xf numFmtId="189" fontId="3" fillId="2" borderId="18" xfId="0" applyNumberFormat="1" applyFont="1" applyFill="1" applyBorder="1" applyAlignment="1"/>
    <xf numFmtId="189" fontId="3" fillId="2" borderId="17" xfId="0" applyNumberFormat="1" applyFont="1" applyFill="1" applyBorder="1" applyAlignment="1"/>
    <xf numFmtId="189" fontId="6" fillId="13" borderId="17" xfId="0" applyNumberFormat="1" applyFont="1" applyFill="1" applyBorder="1" applyAlignment="1">
      <alignment horizontal="right"/>
    </xf>
    <xf numFmtId="189" fontId="6" fillId="13" borderId="2" xfId="0" applyNumberFormat="1" applyFont="1" applyFill="1" applyBorder="1" applyAlignment="1">
      <alignment horizontal="right"/>
    </xf>
    <xf numFmtId="189" fontId="3" fillId="15" borderId="18" xfId="0" applyNumberFormat="1" applyFont="1" applyFill="1" applyBorder="1" applyAlignment="1"/>
    <xf numFmtId="0" fontId="7" fillId="16" borderId="9" xfId="0" applyFont="1" applyFill="1" applyBorder="1" applyAlignment="1"/>
    <xf numFmtId="189" fontId="6" fillId="16" borderId="18" xfId="0" applyNumberFormat="1" applyFont="1" applyFill="1" applyBorder="1" applyAlignment="1">
      <alignment horizontal="right"/>
    </xf>
    <xf numFmtId="189" fontId="6" fillId="16" borderId="10" xfId="0" applyNumberFormat="1" applyFont="1" applyFill="1" applyBorder="1" applyAlignment="1">
      <alignment horizontal="right"/>
    </xf>
    <xf numFmtId="0" fontId="9" fillId="16" borderId="9" xfId="0" applyFont="1" applyFill="1" applyBorder="1" applyAlignment="1"/>
    <xf numFmtId="0" fontId="9" fillId="16" borderId="10" xfId="0" applyFont="1" applyFill="1" applyBorder="1" applyAlignment="1">
      <alignment horizontal="center"/>
    </xf>
    <xf numFmtId="189" fontId="9" fillId="16" borderId="18" xfId="0" applyNumberFormat="1" applyFont="1" applyFill="1" applyBorder="1" applyAlignment="1">
      <alignment horizontal="right"/>
    </xf>
    <xf numFmtId="189" fontId="9" fillId="16" borderId="10" xfId="0" applyNumberFormat="1" applyFont="1" applyFill="1" applyBorder="1" applyAlignment="1">
      <alignment horizontal="right"/>
    </xf>
    <xf numFmtId="189" fontId="8" fillId="16" borderId="18" xfId="0" applyNumberFormat="1" applyFont="1" applyFill="1" applyBorder="1" applyAlignment="1">
      <alignment horizontal="right"/>
    </xf>
    <xf numFmtId="189" fontId="8" fillId="16" borderId="10" xfId="0" applyNumberFormat="1" applyFont="1" applyFill="1" applyBorder="1" applyAlignment="1">
      <alignment horizontal="right"/>
    </xf>
    <xf numFmtId="189" fontId="3" fillId="18" borderId="18" xfId="0" applyNumberFormat="1" applyFont="1" applyFill="1" applyBorder="1" applyAlignment="1"/>
    <xf numFmtId="189" fontId="3" fillId="19" borderId="18" xfId="0" applyNumberFormat="1" applyFont="1" applyFill="1" applyBorder="1" applyAlignment="1"/>
    <xf numFmtId="0" fontId="7" fillId="20" borderId="9" xfId="0" applyFont="1" applyFill="1" applyBorder="1" applyAlignment="1"/>
    <xf numFmtId="189" fontId="6" fillId="20" borderId="18" xfId="0" applyNumberFormat="1" applyFont="1" applyFill="1" applyBorder="1" applyAlignment="1">
      <alignment horizontal="right"/>
    </xf>
    <xf numFmtId="189" fontId="6" fillId="20" borderId="10" xfId="0" applyNumberFormat="1" applyFont="1" applyFill="1" applyBorder="1" applyAlignment="1">
      <alignment horizontal="right"/>
    </xf>
    <xf numFmtId="0" fontId="9" fillId="20" borderId="9" xfId="0" applyFont="1" applyFill="1" applyBorder="1" applyAlignment="1"/>
    <xf numFmtId="0" fontId="9" fillId="20" borderId="10" xfId="0" applyFont="1" applyFill="1" applyBorder="1" applyAlignment="1">
      <alignment horizontal="center"/>
    </xf>
    <xf numFmtId="189" fontId="9" fillId="20" borderId="18" xfId="0" applyNumberFormat="1" applyFont="1" applyFill="1" applyBorder="1" applyAlignment="1">
      <alignment horizontal="right"/>
    </xf>
    <xf numFmtId="189" fontId="9" fillId="20" borderId="10" xfId="0" applyNumberFormat="1" applyFont="1" applyFill="1" applyBorder="1" applyAlignment="1">
      <alignment horizontal="right"/>
    </xf>
    <xf numFmtId="189" fontId="8" fillId="20" borderId="18" xfId="0" applyNumberFormat="1" applyFont="1" applyFill="1" applyBorder="1" applyAlignment="1">
      <alignment horizontal="right"/>
    </xf>
    <xf numFmtId="189" fontId="8" fillId="20" borderId="10" xfId="0" applyNumberFormat="1" applyFont="1" applyFill="1" applyBorder="1" applyAlignment="1">
      <alignment horizontal="right"/>
    </xf>
    <xf numFmtId="189" fontId="8" fillId="2" borderId="17" xfId="0" applyNumberFormat="1" applyFont="1" applyFill="1" applyBorder="1" applyAlignment="1">
      <alignment horizontal="right"/>
    </xf>
    <xf numFmtId="189" fontId="3" fillId="22" borderId="18" xfId="0" applyNumberFormat="1" applyFont="1" applyFill="1" applyBorder="1" applyAlignment="1"/>
    <xf numFmtId="187" fontId="6" fillId="12" borderId="10" xfId="0" applyNumberFormat="1" applyFont="1" applyFill="1" applyBorder="1" applyAlignment="1">
      <alignment horizontal="right"/>
    </xf>
    <xf numFmtId="189" fontId="3" fillId="12" borderId="18" xfId="0" applyNumberFormat="1" applyFont="1" applyFill="1" applyBorder="1" applyAlignment="1"/>
    <xf numFmtId="0" fontId="7" fillId="2" borderId="9" xfId="0" applyFont="1" applyFill="1" applyBorder="1" applyAlignment="1"/>
    <xf numFmtId="189" fontId="6" fillId="2" borderId="18" xfId="0" applyNumberFormat="1" applyFont="1" applyFill="1" applyBorder="1" applyAlignment="1">
      <alignment horizontal="right"/>
    </xf>
    <xf numFmtId="189" fontId="6" fillId="2" borderId="10" xfId="0" applyNumberFormat="1" applyFont="1" applyFill="1" applyBorder="1" applyAlignment="1">
      <alignment horizontal="right"/>
    </xf>
    <xf numFmtId="0" fontId="7" fillId="23" borderId="9" xfId="0" quotePrefix="1" applyFont="1" applyFill="1" applyBorder="1" applyAlignment="1"/>
    <xf numFmtId="189" fontId="3" fillId="0" borderId="18" xfId="0" applyNumberFormat="1" applyFont="1" applyBorder="1" applyAlignment="1"/>
    <xf numFmtId="189" fontId="6" fillId="0" borderId="10" xfId="0" applyNumberFormat="1" applyFont="1" applyBorder="1" applyAlignment="1">
      <alignment horizontal="right"/>
    </xf>
    <xf numFmtId="187" fontId="8" fillId="0" borderId="10" xfId="0" applyNumberFormat="1" applyFont="1" applyBorder="1" applyAlignment="1">
      <alignment horizontal="right"/>
    </xf>
    <xf numFmtId="187" fontId="8" fillId="24" borderId="10" xfId="0" applyNumberFormat="1" applyFont="1" applyFill="1" applyBorder="1" applyAlignment="1">
      <alignment horizontal="right"/>
    </xf>
    <xf numFmtId="189" fontId="8" fillId="0" borderId="10" xfId="0" applyNumberFormat="1" applyFont="1" applyBorder="1" applyAlignment="1">
      <alignment horizontal="right"/>
    </xf>
    <xf numFmtId="188" fontId="6" fillId="22" borderId="19" xfId="0" applyNumberFormat="1" applyFont="1" applyFill="1" applyBorder="1" applyAlignment="1"/>
    <xf numFmtId="188" fontId="3" fillId="22" borderId="20" xfId="0" applyNumberFormat="1" applyFont="1" applyFill="1" applyBorder="1" applyAlignment="1"/>
    <xf numFmtId="190" fontId="3" fillId="22" borderId="20" xfId="0" applyNumberFormat="1" applyFont="1" applyFill="1" applyBorder="1" applyAlignment="1"/>
    <xf numFmtId="0" fontId="3" fillId="22" borderId="20" xfId="0" applyFont="1" applyFill="1" applyBorder="1" applyAlignment="1"/>
    <xf numFmtId="187" fontId="3" fillId="22" borderId="20" xfId="0" applyNumberFormat="1" applyFont="1" applyFill="1" applyBorder="1" applyAlignment="1"/>
    <xf numFmtId="189" fontId="3" fillId="22" borderId="20" xfId="0" applyNumberFormat="1" applyFont="1" applyFill="1" applyBorder="1" applyAlignment="1"/>
    <xf numFmtId="188" fontId="10" fillId="2" borderId="9" xfId="0" applyNumberFormat="1" applyFont="1" applyFill="1" applyBorder="1" applyAlignment="1"/>
    <xf numFmtId="187" fontId="9" fillId="24" borderId="10" xfId="0" applyNumberFormat="1" applyFont="1" applyFill="1" applyBorder="1" applyAlignment="1">
      <alignment horizontal="right"/>
    </xf>
    <xf numFmtId="188" fontId="9" fillId="0" borderId="2" xfId="0" applyNumberFormat="1" applyFont="1" applyBorder="1" applyAlignment="1">
      <alignment horizontal="center"/>
    </xf>
    <xf numFmtId="187" fontId="9" fillId="24" borderId="2" xfId="0" applyNumberFormat="1" applyFont="1" applyFill="1" applyBorder="1" applyAlignment="1">
      <alignment horizontal="right"/>
    </xf>
    <xf numFmtId="189" fontId="9" fillId="2" borderId="2" xfId="0" applyNumberFormat="1" applyFont="1" applyFill="1" applyBorder="1" applyAlignment="1">
      <alignment horizontal="right"/>
    </xf>
    <xf numFmtId="189" fontId="3" fillId="25" borderId="18" xfId="0" applyNumberFormat="1" applyFont="1" applyFill="1" applyBorder="1" applyAlignment="1"/>
    <xf numFmtId="187" fontId="6" fillId="23" borderId="10" xfId="0" applyNumberFormat="1" applyFont="1" applyFill="1" applyBorder="1" applyAlignment="1">
      <alignment horizontal="right"/>
    </xf>
    <xf numFmtId="189" fontId="6" fillId="23" borderId="10" xfId="0" applyNumberFormat="1" applyFont="1" applyFill="1" applyBorder="1" applyAlignment="1">
      <alignment horizontal="right"/>
    </xf>
    <xf numFmtId="189" fontId="3" fillId="23" borderId="18" xfId="0" applyNumberFormat="1" applyFont="1" applyFill="1" applyBorder="1" applyAlignment="1"/>
    <xf numFmtId="0" fontId="9" fillId="2" borderId="10" xfId="0" applyFont="1" applyFill="1" applyBorder="1" applyAlignment="1">
      <alignment horizontal="center" wrapText="1"/>
    </xf>
    <xf numFmtId="189" fontId="3" fillId="26" borderId="18" xfId="0" applyNumberFormat="1" applyFont="1" applyFill="1" applyBorder="1" applyAlignment="1"/>
    <xf numFmtId="0" fontId="7" fillId="2" borderId="9" xfId="0" quotePrefix="1" applyFont="1" applyFill="1" applyBorder="1" applyAlignment="1"/>
    <xf numFmtId="189" fontId="6" fillId="24" borderId="10" xfId="0" applyNumberFormat="1" applyFont="1" applyFill="1" applyBorder="1" applyAlignment="1">
      <alignment horizontal="right"/>
    </xf>
    <xf numFmtId="189" fontId="8" fillId="24" borderId="10" xfId="0" applyNumberFormat="1" applyFont="1" applyFill="1" applyBorder="1" applyAlignment="1">
      <alignment horizontal="right"/>
    </xf>
    <xf numFmtId="0" fontId="8" fillId="2" borderId="20" xfId="0" applyFont="1" applyFill="1" applyBorder="1" applyAlignment="1"/>
    <xf numFmtId="189" fontId="17" fillId="2" borderId="18" xfId="0" applyNumberFormat="1" applyFont="1" applyFill="1" applyBorder="1" applyAlignment="1">
      <alignment horizontal="right"/>
    </xf>
    <xf numFmtId="189" fontId="17" fillId="2" borderId="10" xfId="0" applyNumberFormat="1" applyFont="1" applyFill="1" applyBorder="1" applyAlignment="1">
      <alignment horizontal="right"/>
    </xf>
    <xf numFmtId="0" fontId="17" fillId="26" borderId="9" xfId="0" applyFont="1" applyFill="1" applyBorder="1" applyAlignment="1"/>
    <xf numFmtId="0" fontId="17" fillId="26" borderId="10" xfId="0" applyFont="1" applyFill="1" applyBorder="1" applyAlignment="1">
      <alignment horizontal="center" wrapText="1"/>
    </xf>
    <xf numFmtId="187" fontId="17" fillId="26" borderId="10" xfId="0" applyNumberFormat="1" applyFont="1" applyFill="1" applyBorder="1" applyAlignment="1">
      <alignment horizontal="right"/>
    </xf>
    <xf numFmtId="189" fontId="17" fillId="26" borderId="10" xfId="0" applyNumberFormat="1" applyFont="1" applyFill="1" applyBorder="1" applyAlignment="1">
      <alignment horizontal="right"/>
    </xf>
    <xf numFmtId="0" fontId="17" fillId="2" borderId="9" xfId="0" applyFont="1" applyFill="1" applyBorder="1" applyAlignment="1"/>
    <xf numFmtId="0" fontId="19" fillId="2" borderId="9" xfId="0" applyFont="1" applyFill="1" applyBorder="1" applyAlignment="1"/>
    <xf numFmtId="188" fontId="17" fillId="2" borderId="9" xfId="0" applyNumberFormat="1" applyFont="1" applyFill="1" applyBorder="1" applyAlignment="1"/>
    <xf numFmtId="0" fontId="19" fillId="23" borderId="9" xfId="0" quotePrefix="1" applyFont="1" applyFill="1" applyBorder="1" applyAlignment="1"/>
    <xf numFmtId="0" fontId="9" fillId="0" borderId="10" xfId="0" applyFont="1" applyBorder="1" applyAlignment="1">
      <alignment horizontal="center"/>
    </xf>
    <xf numFmtId="188" fontId="9" fillId="0" borderId="9" xfId="0" quotePrefix="1" applyNumberFormat="1" applyFont="1" applyBorder="1" applyAlignment="1"/>
    <xf numFmtId="0" fontId="9" fillId="0" borderId="9" xfId="0" quotePrefix="1" applyFont="1" applyBorder="1" applyAlignment="1"/>
    <xf numFmtId="0" fontId="19" fillId="2" borderId="9" xfId="0" quotePrefix="1" applyFont="1" applyFill="1" applyBorder="1" applyAlignment="1"/>
    <xf numFmtId="188" fontId="1" fillId="25" borderId="8" xfId="0" applyNumberFormat="1" applyFont="1" applyFill="1" applyBorder="1" applyAlignment="1"/>
    <xf numFmtId="188" fontId="40" fillId="25" borderId="9" xfId="0" applyNumberFormat="1" applyFont="1" applyFill="1" applyBorder="1" applyAlignment="1"/>
    <xf numFmtId="0" fontId="40" fillId="25" borderId="9" xfId="0" applyFont="1" applyFill="1" applyBorder="1" applyAlignment="1"/>
    <xf numFmtId="0" fontId="40" fillId="25" borderId="10" xfId="0" applyFont="1" applyFill="1" applyBorder="1" applyAlignment="1"/>
    <xf numFmtId="187" fontId="40" fillId="25" borderId="10" xfId="0" applyNumberFormat="1" applyFont="1" applyFill="1" applyBorder="1" applyAlignment="1"/>
    <xf numFmtId="189" fontId="40" fillId="25" borderId="10" xfId="0" applyNumberFormat="1" applyFont="1" applyFill="1" applyBorder="1" applyAlignment="1"/>
    <xf numFmtId="189" fontId="40" fillId="25" borderId="18" xfId="0" applyNumberFormat="1" applyFont="1" applyFill="1" applyBorder="1" applyAlignment="1"/>
    <xf numFmtId="188" fontId="40" fillId="23" borderId="8" xfId="0" applyNumberFormat="1" applyFont="1" applyFill="1" applyBorder="1" applyAlignment="1"/>
    <xf numFmtId="0" fontId="1" fillId="23" borderId="9" xfId="0" applyFont="1" applyFill="1" applyBorder="1" applyAlignment="1"/>
    <xf numFmtId="188" fontId="40" fillId="23" borderId="9" xfId="0" applyNumberFormat="1" applyFont="1" applyFill="1" applyBorder="1" applyAlignment="1"/>
    <xf numFmtId="0" fontId="40" fillId="23" borderId="9" xfId="0" applyFont="1" applyFill="1" applyBorder="1" applyAlignment="1"/>
    <xf numFmtId="0" fontId="40" fillId="23" borderId="10" xfId="0" applyFont="1" applyFill="1" applyBorder="1" applyAlignment="1"/>
    <xf numFmtId="0" fontId="1" fillId="23" borderId="10" xfId="0" applyFont="1" applyFill="1" applyBorder="1" applyAlignment="1">
      <alignment horizontal="center" wrapText="1"/>
    </xf>
    <xf numFmtId="187" fontId="1" fillId="23" borderId="10" xfId="0" applyNumberFormat="1" applyFont="1" applyFill="1" applyBorder="1" applyAlignment="1"/>
    <xf numFmtId="189" fontId="1" fillId="23" borderId="10" xfId="0" applyNumberFormat="1" applyFont="1" applyFill="1" applyBorder="1" applyAlignment="1">
      <alignment horizontal="right"/>
    </xf>
    <xf numFmtId="189" fontId="40" fillId="23" borderId="18" xfId="0" applyNumberFormat="1" applyFont="1" applyFill="1" applyBorder="1" applyAlignment="1"/>
    <xf numFmtId="189" fontId="40" fillId="23" borderId="10" xfId="0" applyNumberFormat="1" applyFont="1" applyFill="1" applyBorder="1" applyAlignment="1"/>
    <xf numFmtId="190" fontId="40" fillId="2" borderId="8" xfId="0" applyNumberFormat="1" applyFont="1" applyFill="1" applyBorder="1" applyAlignment="1"/>
    <xf numFmtId="0" fontId="40" fillId="2" borderId="9" xfId="0" applyFont="1" applyFill="1" applyBorder="1" applyAlignment="1"/>
    <xf numFmtId="0" fontId="1" fillId="2" borderId="9" xfId="0" applyFont="1" applyFill="1" applyBorder="1" applyAlignment="1"/>
    <xf numFmtId="0" fontId="41" fillId="2" borderId="9" xfId="0" applyFont="1" applyFill="1" applyBorder="1" applyAlignment="1"/>
    <xf numFmtId="0" fontId="40" fillId="2" borderId="10" xfId="0" applyFont="1" applyFill="1" applyBorder="1" applyAlignment="1"/>
    <xf numFmtId="188" fontId="1" fillId="2" borderId="10" xfId="0" applyNumberFormat="1" applyFont="1" applyFill="1" applyBorder="1" applyAlignment="1">
      <alignment horizontal="center"/>
    </xf>
    <xf numFmtId="187" fontId="40" fillId="2" borderId="10" xfId="0" applyNumberFormat="1" applyFont="1" applyFill="1" applyBorder="1" applyAlignment="1"/>
    <xf numFmtId="189" fontId="40" fillId="2" borderId="10" xfId="0" applyNumberFormat="1" applyFont="1" applyFill="1" applyBorder="1" applyAlignment="1"/>
    <xf numFmtId="189" fontId="1" fillId="2" borderId="18" xfId="0" applyNumberFormat="1" applyFont="1" applyFill="1" applyBorder="1" applyAlignment="1">
      <alignment horizontal="right"/>
    </xf>
    <xf numFmtId="189" fontId="1" fillId="2" borderId="10" xfId="0" applyNumberFormat="1" applyFont="1" applyFill="1" applyBorder="1" applyAlignment="1">
      <alignment horizontal="right"/>
    </xf>
    <xf numFmtId="190" fontId="42" fillId="2" borderId="8" xfId="0" applyNumberFormat="1" applyFont="1" applyFill="1" applyBorder="1" applyAlignment="1"/>
    <xf numFmtId="0" fontId="42" fillId="2" borderId="9" xfId="0" applyFont="1" applyFill="1" applyBorder="1" applyAlignment="1"/>
    <xf numFmtId="0" fontId="42" fillId="2" borderId="10" xfId="0" applyFont="1" applyFill="1" applyBorder="1" applyAlignment="1"/>
    <xf numFmtId="187" fontId="42" fillId="2" borderId="10" xfId="0" applyNumberFormat="1" applyFont="1" applyFill="1" applyBorder="1" applyAlignment="1"/>
    <xf numFmtId="189" fontId="42" fillId="2" borderId="10" xfId="0" applyNumberFormat="1" applyFont="1" applyFill="1" applyBorder="1" applyAlignment="1"/>
    <xf numFmtId="0" fontId="43" fillId="2" borderId="9" xfId="0" applyFont="1" applyFill="1" applyBorder="1" applyAlignment="1"/>
    <xf numFmtId="188" fontId="43" fillId="2" borderId="10" xfId="0" applyNumberFormat="1" applyFont="1" applyFill="1" applyBorder="1" applyAlignment="1">
      <alignment horizontal="center"/>
    </xf>
    <xf numFmtId="189" fontId="43" fillId="2" borderId="18" xfId="0" applyNumberFormat="1" applyFont="1" applyFill="1" applyBorder="1" applyAlignment="1">
      <alignment horizontal="right"/>
    </xf>
    <xf numFmtId="189" fontId="43" fillId="2" borderId="10" xfId="0" applyNumberFormat="1" applyFont="1" applyFill="1" applyBorder="1" applyAlignment="1">
      <alignment horizontal="right"/>
    </xf>
    <xf numFmtId="0" fontId="44" fillId="2" borderId="9" xfId="0" applyFont="1" applyFill="1" applyBorder="1" applyAlignment="1"/>
    <xf numFmtId="188" fontId="43" fillId="0" borderId="10" xfId="0" applyNumberFormat="1" applyFont="1" applyBorder="1" applyAlignment="1">
      <alignment horizontal="center" wrapText="1"/>
    </xf>
    <xf numFmtId="187" fontId="40" fillId="0" borderId="10" xfId="0" applyNumberFormat="1" applyFont="1" applyBorder="1" applyAlignment="1"/>
    <xf numFmtId="189" fontId="40" fillId="0" borderId="10" xfId="0" applyNumberFormat="1" applyFont="1" applyBorder="1" applyAlignment="1"/>
    <xf numFmtId="187" fontId="42" fillId="0" borderId="10" xfId="0" applyNumberFormat="1" applyFont="1" applyBorder="1" applyAlignment="1"/>
    <xf numFmtId="189" fontId="42" fillId="0" borderId="10" xfId="0" applyNumberFormat="1" applyFont="1" applyBorder="1" applyAlignment="1"/>
    <xf numFmtId="188" fontId="43" fillId="0" borderId="10" xfId="0" applyNumberFormat="1" applyFont="1" applyBorder="1" applyAlignment="1">
      <alignment horizontal="center"/>
    </xf>
    <xf numFmtId="188" fontId="40" fillId="0" borderId="8" xfId="0" applyNumberFormat="1" applyFont="1" applyBorder="1" applyAlignment="1"/>
    <xf numFmtId="188" fontId="40" fillId="0" borderId="9" xfId="0" applyNumberFormat="1" applyFont="1" applyBorder="1" applyAlignment="1"/>
    <xf numFmtId="0" fontId="41" fillId="23" borderId="9" xfId="0" quotePrefix="1" applyFont="1" applyFill="1" applyBorder="1" applyAlignment="1"/>
    <xf numFmtId="0" fontId="40" fillId="0" borderId="10" xfId="0" applyFont="1" applyBorder="1" applyAlignment="1"/>
    <xf numFmtId="189" fontId="40" fillId="0" borderId="18" xfId="0" applyNumberFormat="1" applyFont="1" applyBorder="1" applyAlignment="1"/>
    <xf numFmtId="46" fontId="3" fillId="2" borderId="19" xfId="0" applyNumberFormat="1" applyFont="1" applyFill="1" applyBorder="1" applyAlignment="1"/>
    <xf numFmtId="188" fontId="3" fillId="2" borderId="20" xfId="0" applyNumberFormat="1" applyFont="1" applyFill="1" applyBorder="1" applyAlignment="1"/>
    <xf numFmtId="0" fontId="8" fillId="2" borderId="20" xfId="0" quotePrefix="1" applyFont="1" applyFill="1" applyBorder="1" applyAlignment="1"/>
    <xf numFmtId="0" fontId="3" fillId="2" borderId="20" xfId="0" applyFont="1" applyFill="1" applyBorder="1" applyAlignment="1"/>
    <xf numFmtId="0" fontId="3" fillId="2" borderId="21" xfId="0" applyFont="1" applyFill="1" applyBorder="1" applyAlignment="1"/>
    <xf numFmtId="188" fontId="8" fillId="2" borderId="21" xfId="0" applyNumberFormat="1" applyFont="1" applyFill="1" applyBorder="1" applyAlignment="1">
      <alignment horizontal="center"/>
    </xf>
    <xf numFmtId="187" fontId="8" fillId="2" borderId="21" xfId="0" applyNumberFormat="1" applyFont="1" applyFill="1" applyBorder="1" applyAlignment="1">
      <alignment horizontal="right"/>
    </xf>
    <xf numFmtId="187" fontId="8" fillId="24" borderId="21" xfId="0" applyNumberFormat="1" applyFont="1" applyFill="1" applyBorder="1" applyAlignment="1">
      <alignment horizontal="right"/>
    </xf>
    <xf numFmtId="189" fontId="8" fillId="2" borderId="21" xfId="0" applyNumberFormat="1" applyFont="1" applyFill="1" applyBorder="1" applyAlignment="1">
      <alignment horizontal="right"/>
    </xf>
    <xf numFmtId="0" fontId="9" fillId="0" borderId="1" xfId="0" quotePrefix="1" applyFont="1" applyBorder="1" applyAlignment="1"/>
    <xf numFmtId="0" fontId="9" fillId="2" borderId="2" xfId="0" applyFont="1" applyFill="1" applyBorder="1" applyAlignment="1">
      <alignment horizontal="center"/>
    </xf>
    <xf numFmtId="189" fontId="9" fillId="0" borderId="2" xfId="0" applyNumberFormat="1" applyFont="1" applyBorder="1" applyAlignment="1">
      <alignment horizontal="right"/>
    </xf>
    <xf numFmtId="189" fontId="3" fillId="0" borderId="17" xfId="0" applyNumberFormat="1" applyFont="1" applyBorder="1" applyAlignment="1"/>
    <xf numFmtId="189" fontId="3" fillId="29" borderId="18" xfId="0" applyNumberFormat="1" applyFont="1" applyFill="1" applyBorder="1" applyAlignment="1"/>
    <xf numFmtId="187" fontId="6" fillId="30" borderId="10" xfId="0" applyNumberFormat="1" applyFont="1" applyFill="1" applyBorder="1" applyAlignment="1">
      <alignment horizontal="right"/>
    </xf>
    <xf numFmtId="189" fontId="6" fillId="30" borderId="10" xfId="0" applyNumberFormat="1" applyFont="1" applyFill="1" applyBorder="1" applyAlignment="1">
      <alignment horizontal="right"/>
    </xf>
    <xf numFmtId="189" fontId="3" fillId="30" borderId="18" xfId="0" applyNumberFormat="1" applyFont="1" applyFill="1" applyBorder="1" applyAlignment="1"/>
    <xf numFmtId="189" fontId="3" fillId="32" borderId="18" xfId="0" applyNumberFormat="1" applyFont="1" applyFill="1" applyBorder="1" applyAlignment="1"/>
    <xf numFmtId="187" fontId="6" fillId="33" borderId="10" xfId="0" applyNumberFormat="1" applyFont="1" applyFill="1" applyBorder="1" applyAlignment="1">
      <alignment horizontal="right"/>
    </xf>
    <xf numFmtId="189" fontId="6" fillId="33" borderId="10" xfId="0" applyNumberFormat="1" applyFont="1" applyFill="1" applyBorder="1" applyAlignment="1">
      <alignment horizontal="right"/>
    </xf>
    <xf numFmtId="189" fontId="3" fillId="33" borderId="18" xfId="0" applyNumberFormat="1" applyFont="1" applyFill="1" applyBorder="1" applyAlignment="1"/>
    <xf numFmtId="0" fontId="8" fillId="10" borderId="9" xfId="0" applyFont="1" applyFill="1" applyBorder="1" applyAlignment="1"/>
    <xf numFmtId="187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189" fontId="8" fillId="10" borderId="10" xfId="0" applyNumberFormat="1" applyFont="1" applyFill="1" applyBorder="1" applyAlignment="1">
      <alignment horizontal="right"/>
    </xf>
    <xf numFmtId="0" fontId="9" fillId="10" borderId="9" xfId="0" applyFont="1" applyFill="1" applyBorder="1" applyAlignment="1"/>
    <xf numFmtId="0" fontId="9" fillId="10" borderId="10" xfId="0" applyFont="1" applyFill="1" applyBorder="1" applyAlignment="1">
      <alignment horizontal="center"/>
    </xf>
    <xf numFmtId="187" fontId="9" fillId="10" borderId="10" xfId="0" applyNumberFormat="1" applyFont="1" applyFill="1" applyBorder="1" applyAlignment="1">
      <alignment horizontal="right"/>
    </xf>
    <xf numFmtId="189" fontId="9" fillId="10" borderId="10" xfId="0" applyNumberFormat="1" applyFont="1" applyFill="1" applyBorder="1" applyAlignment="1">
      <alignment horizontal="right"/>
    </xf>
    <xf numFmtId="187" fontId="6" fillId="33" borderId="22" xfId="0" applyNumberFormat="1" applyFont="1" applyFill="1" applyBorder="1" applyAlignment="1">
      <alignment horizontal="right"/>
    </xf>
    <xf numFmtId="187" fontId="6" fillId="33" borderId="21" xfId="0" applyNumberFormat="1" applyFont="1" applyFill="1" applyBorder="1" applyAlignment="1">
      <alignment horizontal="right"/>
    </xf>
    <xf numFmtId="189" fontId="6" fillId="33" borderId="21" xfId="0" applyNumberFormat="1" applyFont="1" applyFill="1" applyBorder="1" applyAlignment="1">
      <alignment horizontal="right"/>
    </xf>
    <xf numFmtId="188" fontId="3" fillId="26" borderId="19" xfId="0" applyNumberFormat="1" applyFont="1" applyFill="1" applyBorder="1" applyAlignment="1"/>
    <xf numFmtId="0" fontId="3" fillId="26" borderId="20" xfId="0" applyFont="1" applyFill="1" applyBorder="1" applyAlignment="1"/>
    <xf numFmtId="188" fontId="3" fillId="26" borderId="20" xfId="0" applyNumberFormat="1" applyFont="1" applyFill="1" applyBorder="1" applyAlignment="1"/>
    <xf numFmtId="188" fontId="7" fillId="26" borderId="20" xfId="0" applyNumberFormat="1" applyFont="1" applyFill="1" applyBorder="1" applyAlignment="1"/>
    <xf numFmtId="0" fontId="3" fillId="26" borderId="21" xfId="0" applyFont="1" applyFill="1" applyBorder="1" applyAlignment="1"/>
    <xf numFmtId="0" fontId="6" fillId="26" borderId="21" xfId="0" applyFont="1" applyFill="1" applyBorder="1" applyAlignment="1">
      <alignment horizontal="center" wrapText="1"/>
    </xf>
    <xf numFmtId="187" fontId="6" fillId="26" borderId="21" xfId="0" applyNumberFormat="1" applyFont="1" applyFill="1" applyBorder="1" applyAlignment="1">
      <alignment horizontal="right"/>
    </xf>
    <xf numFmtId="189" fontId="6" fillId="26" borderId="21" xfId="0" applyNumberFormat="1" applyFont="1" applyFill="1" applyBorder="1" applyAlignment="1">
      <alignment horizontal="right"/>
    </xf>
    <xf numFmtId="0" fontId="7" fillId="26" borderId="9" xfId="0" applyFont="1" applyFill="1" applyBorder="1" applyAlignment="1"/>
    <xf numFmtId="193" fontId="8" fillId="2" borderId="10" xfId="0" applyNumberFormat="1" applyFont="1" applyFill="1" applyBorder="1" applyAlignment="1">
      <alignment horizontal="right"/>
    </xf>
    <xf numFmtId="190" fontId="3" fillId="33" borderId="14" xfId="0" applyNumberFormat="1" applyFont="1" applyFill="1" applyBorder="1" applyAlignment="1"/>
    <xf numFmtId="188" fontId="6" fillId="33" borderId="15" xfId="0" applyNumberFormat="1" applyFont="1" applyFill="1" applyBorder="1" applyAlignment="1"/>
    <xf numFmtId="190" fontId="3" fillId="33" borderId="15" xfId="0" applyNumberFormat="1" applyFont="1" applyFill="1" applyBorder="1" applyAlignment="1"/>
    <xf numFmtId="188" fontId="3" fillId="33" borderId="15" xfId="0" applyNumberFormat="1" applyFont="1" applyFill="1" applyBorder="1" applyAlignment="1"/>
    <xf numFmtId="0" fontId="3" fillId="33" borderId="15" xfId="0" applyFont="1" applyFill="1" applyBorder="1" applyAlignment="1"/>
    <xf numFmtId="0" fontId="3" fillId="33" borderId="16" xfId="0" applyFont="1" applyFill="1" applyBorder="1" applyAlignment="1"/>
    <xf numFmtId="188" fontId="6" fillId="33" borderId="16" xfId="0" applyNumberFormat="1" applyFont="1" applyFill="1" applyBorder="1" applyAlignment="1">
      <alignment horizontal="center" wrapText="1"/>
    </xf>
    <xf numFmtId="187" fontId="6" fillId="33" borderId="16" xfId="0" applyNumberFormat="1" applyFont="1" applyFill="1" applyBorder="1" applyAlignment="1">
      <alignment horizontal="right"/>
    </xf>
    <xf numFmtId="189" fontId="6" fillId="33" borderId="16" xfId="0" applyNumberFormat="1" applyFont="1" applyFill="1" applyBorder="1" applyAlignment="1">
      <alignment horizontal="right"/>
    </xf>
    <xf numFmtId="188" fontId="7" fillId="2" borderId="9" xfId="0" applyNumberFormat="1" applyFont="1" applyFill="1" applyBorder="1" applyAlignment="1"/>
    <xf numFmtId="188" fontId="7" fillId="23" borderId="9" xfId="0" quotePrefix="1" applyNumberFormat="1" applyFont="1" applyFill="1" applyBorder="1" applyAlignment="1"/>
    <xf numFmtId="188" fontId="40" fillId="2" borderId="9" xfId="0" applyNumberFormat="1" applyFont="1" applyFill="1" applyBorder="1" applyAlignment="1"/>
    <xf numFmtId="188" fontId="43" fillId="2" borderId="9" xfId="0" applyNumberFormat="1" applyFont="1" applyFill="1" applyBorder="1" applyAlignment="1"/>
    <xf numFmtId="188" fontId="40" fillId="2" borderId="10" xfId="0" applyNumberFormat="1" applyFont="1" applyFill="1" applyBorder="1" applyAlignment="1"/>
    <xf numFmtId="187" fontId="43" fillId="2" borderId="10" xfId="0" applyNumberFormat="1" applyFont="1" applyFill="1" applyBorder="1" applyAlignment="1">
      <alignment horizontal="right"/>
    </xf>
    <xf numFmtId="189" fontId="3" fillId="27" borderId="18" xfId="0" applyNumberFormat="1" applyFont="1" applyFill="1" applyBorder="1" applyAlignment="1"/>
    <xf numFmtId="189" fontId="3" fillId="27" borderId="17" xfId="0" applyNumberFormat="1" applyFont="1" applyFill="1" applyBorder="1" applyAlignment="1"/>
    <xf numFmtId="188" fontId="7" fillId="2" borderId="9" xfId="0" quotePrefix="1" applyNumberFormat="1" applyFont="1" applyFill="1" applyBorder="1" applyAlignment="1"/>
    <xf numFmtId="191" fontId="3" fillId="2" borderId="10" xfId="0" applyNumberFormat="1" applyFont="1" applyFill="1" applyBorder="1" applyAlignment="1"/>
    <xf numFmtId="187" fontId="8" fillId="24" borderId="2" xfId="0" applyNumberFormat="1" applyFont="1" applyFill="1" applyBorder="1" applyAlignment="1">
      <alignment horizontal="right"/>
    </xf>
    <xf numFmtId="188" fontId="17" fillId="34" borderId="7" xfId="0" applyNumberFormat="1" applyFont="1" applyFill="1" applyBorder="1" applyAlignment="1"/>
    <xf numFmtId="189" fontId="3" fillId="35" borderId="17" xfId="0" applyNumberFormat="1" applyFont="1" applyFill="1" applyBorder="1" applyAlignment="1"/>
    <xf numFmtId="188" fontId="17" fillId="36" borderId="8" xfId="0" applyNumberFormat="1" applyFont="1" applyFill="1" applyBorder="1" applyAlignment="1"/>
    <xf numFmtId="189" fontId="3" fillId="36" borderId="23" xfId="0" applyNumberFormat="1" applyFont="1" applyFill="1" applyBorder="1" applyAlignment="1"/>
    <xf numFmtId="0" fontId="17" fillId="37" borderId="9" xfId="0" applyFont="1" applyFill="1" applyBorder="1" applyAlignment="1"/>
    <xf numFmtId="0" fontId="17" fillId="37" borderId="10" xfId="0" applyFont="1" applyFill="1" applyBorder="1" applyAlignment="1">
      <alignment horizontal="center" wrapText="1"/>
    </xf>
    <xf numFmtId="187" fontId="17" fillId="37" borderId="10" xfId="0" applyNumberFormat="1" applyFont="1" applyFill="1" applyBorder="1" applyAlignment="1">
      <alignment horizontal="right"/>
    </xf>
    <xf numFmtId="189" fontId="17" fillId="37" borderId="10" xfId="0" applyNumberFormat="1" applyFont="1" applyFill="1" applyBorder="1" applyAlignment="1">
      <alignment horizontal="right"/>
    </xf>
    <xf numFmtId="189" fontId="3" fillId="37" borderId="18" xfId="0" applyNumberFormat="1" applyFont="1" applyFill="1" applyBorder="1" applyAlignment="1"/>
    <xf numFmtId="188" fontId="17" fillId="2" borderId="10" xfId="0" applyNumberFormat="1" applyFont="1" applyFill="1" applyBorder="1" applyAlignment="1">
      <alignment horizontal="center"/>
    </xf>
    <xf numFmtId="0" fontId="45" fillId="2" borderId="9" xfId="0" applyFont="1" applyFill="1" applyBorder="1" applyAlignment="1"/>
    <xf numFmtId="0" fontId="9" fillId="0" borderId="1" xfId="0" applyFont="1" applyBorder="1" applyAlignment="1"/>
    <xf numFmtId="0" fontId="9" fillId="2" borderId="2" xfId="0" applyFont="1" applyFill="1" applyBorder="1" applyAlignment="1">
      <alignment horizontal="center" wrapText="1"/>
    </xf>
    <xf numFmtId="188" fontId="3" fillId="27" borderId="19" xfId="0" applyNumberFormat="1" applyFont="1" applyFill="1" applyBorder="1" applyAlignment="1"/>
    <xf numFmtId="188" fontId="3" fillId="27" borderId="20" xfId="0" applyNumberFormat="1" applyFont="1" applyFill="1" applyBorder="1" applyAlignment="1"/>
    <xf numFmtId="0" fontId="3" fillId="27" borderId="20" xfId="0" applyFont="1" applyFill="1" applyBorder="1" applyAlignment="1"/>
    <xf numFmtId="0" fontId="3" fillId="27" borderId="21" xfId="0" applyFont="1" applyFill="1" applyBorder="1" applyAlignment="1"/>
    <xf numFmtId="188" fontId="3" fillId="27" borderId="21" xfId="0" applyNumberFormat="1" applyFont="1" applyFill="1" applyBorder="1" applyAlignment="1"/>
    <xf numFmtId="187" fontId="3" fillId="27" borderId="21" xfId="0" applyNumberFormat="1" applyFont="1" applyFill="1" applyBorder="1" applyAlignment="1"/>
    <xf numFmtId="189" fontId="3" fillId="27" borderId="21" xfId="0" applyNumberFormat="1" applyFont="1" applyFill="1" applyBorder="1" applyAlignment="1"/>
    <xf numFmtId="189" fontId="6" fillId="37" borderId="10" xfId="0" applyNumberFormat="1" applyFont="1" applyFill="1" applyBorder="1" applyAlignment="1">
      <alignment horizontal="right"/>
    </xf>
    <xf numFmtId="189" fontId="3" fillId="2" borderId="24" xfId="0" applyNumberFormat="1" applyFont="1" applyFill="1" applyBorder="1" applyAlignment="1"/>
    <xf numFmtId="189" fontId="3" fillId="38" borderId="17" xfId="0" applyNumberFormat="1" applyFont="1" applyFill="1" applyBorder="1" applyAlignment="1"/>
    <xf numFmtId="189" fontId="3" fillId="39" borderId="18" xfId="0" applyNumberFormat="1" applyFont="1" applyFill="1" applyBorder="1" applyAlignment="1"/>
    <xf numFmtId="187" fontId="6" fillId="40" borderId="10" xfId="0" applyNumberFormat="1" applyFont="1" applyFill="1" applyBorder="1" applyAlignment="1">
      <alignment horizontal="right"/>
    </xf>
    <xf numFmtId="189" fontId="6" fillId="40" borderId="10" xfId="0" applyNumberFormat="1" applyFont="1" applyFill="1" applyBorder="1" applyAlignment="1">
      <alignment horizontal="right"/>
    </xf>
    <xf numFmtId="189" fontId="3" fillId="40" borderId="18" xfId="0" applyNumberFormat="1" applyFont="1" applyFill="1" applyBorder="1" applyAlignment="1"/>
    <xf numFmtId="188" fontId="7" fillId="23" borderId="9" xfId="0" applyNumberFormat="1" applyFont="1" applyFill="1" applyBorder="1" applyAlignment="1"/>
    <xf numFmtId="0" fontId="7" fillId="23" borderId="9" xfId="0" applyFont="1" applyFill="1" applyBorder="1" applyAlignment="1"/>
    <xf numFmtId="188" fontId="8" fillId="2" borderId="10" xfId="0" applyNumberFormat="1" applyFont="1" applyFill="1" applyBorder="1" applyAlignment="1">
      <alignment horizontal="right"/>
    </xf>
    <xf numFmtId="188" fontId="6" fillId="2" borderId="10" xfId="0" applyNumberFormat="1" applyFont="1" applyFill="1" applyBorder="1" applyAlignment="1">
      <alignment horizontal="right"/>
    </xf>
    <xf numFmtId="192" fontId="3" fillId="2" borderId="18" xfId="0" applyNumberFormat="1" applyFont="1" applyFill="1" applyBorder="1" applyAlignment="1"/>
    <xf numFmtId="192" fontId="3" fillId="2" borderId="17" xfId="0" applyNumberFormat="1" applyFont="1" applyFill="1" applyBorder="1" applyAlignment="1"/>
    <xf numFmtId="187" fontId="6" fillId="39" borderId="10" xfId="0" applyNumberFormat="1" applyFont="1" applyFill="1" applyBorder="1" applyAlignment="1">
      <alignment horizontal="right"/>
    </xf>
    <xf numFmtId="189" fontId="6" fillId="39" borderId="10" xfId="0" applyNumberFormat="1" applyFont="1" applyFill="1" applyBorder="1" applyAlignment="1">
      <alignment horizontal="right"/>
    </xf>
    <xf numFmtId="189" fontId="17" fillId="39" borderId="10" xfId="0" applyNumberFormat="1" applyFont="1" applyFill="1" applyBorder="1" applyAlignment="1">
      <alignment horizontal="right"/>
    </xf>
    <xf numFmtId="0" fontId="19" fillId="23" borderId="9" xfId="0" applyFont="1" applyFill="1" applyBorder="1" applyAlignment="1"/>
    <xf numFmtId="188" fontId="43" fillId="0" borderId="9" xfId="0" applyNumberFormat="1" applyFont="1" applyBorder="1" applyAlignment="1"/>
    <xf numFmtId="187" fontId="43" fillId="24" borderId="10" xfId="0" applyNumberFormat="1" applyFont="1" applyFill="1" applyBorder="1" applyAlignment="1">
      <alignment horizontal="right"/>
    </xf>
    <xf numFmtId="189" fontId="40" fillId="2" borderId="18" xfId="0" applyNumberFormat="1" applyFont="1" applyFill="1" applyBorder="1" applyAlignment="1"/>
    <xf numFmtId="0" fontId="40" fillId="0" borderId="9" xfId="0" applyFont="1" applyBorder="1" applyAlignment="1"/>
    <xf numFmtId="188" fontId="1" fillId="0" borderId="9" xfId="0" applyNumberFormat="1" applyFont="1" applyBorder="1" applyAlignment="1"/>
    <xf numFmtId="0" fontId="43" fillId="0" borderId="9" xfId="0" applyFont="1" applyBorder="1" applyAlignment="1"/>
    <xf numFmtId="0" fontId="6" fillId="13" borderId="14" xfId="0" applyFont="1" applyFill="1" applyBorder="1" applyAlignment="1"/>
    <xf numFmtId="0" fontId="6" fillId="13" borderId="15" xfId="0" applyFont="1" applyFill="1" applyBorder="1" applyAlignment="1"/>
    <xf numFmtId="0" fontId="22" fillId="0" borderId="0" xfId="0" applyFont="1" applyAlignment="1"/>
    <xf numFmtId="188" fontId="3" fillId="0" borderId="19" xfId="0" applyNumberFormat="1" applyFont="1" applyBorder="1" applyAlignment="1"/>
    <xf numFmtId="188" fontId="3" fillId="0" borderId="20" xfId="0" applyNumberFormat="1" applyFont="1" applyBorder="1" applyAlignment="1"/>
    <xf numFmtId="0" fontId="8" fillId="0" borderId="20" xfId="0" applyFont="1" applyBorder="1" applyAlignment="1"/>
    <xf numFmtId="0" fontId="3" fillId="0" borderId="20" xfId="0" applyFont="1" applyBorder="1" applyAlignment="1"/>
    <xf numFmtId="0" fontId="3" fillId="0" borderId="21" xfId="0" applyFont="1" applyBorder="1" applyAlignment="1"/>
    <xf numFmtId="0" fontId="8" fillId="0" borderId="21" xfId="0" applyFont="1" applyBorder="1" applyAlignment="1">
      <alignment horizontal="center"/>
    </xf>
    <xf numFmtId="187" fontId="8" fillId="0" borderId="21" xfId="0" applyNumberFormat="1" applyFont="1" applyBorder="1" applyAlignment="1">
      <alignment horizontal="right"/>
    </xf>
    <xf numFmtId="189" fontId="3" fillId="2" borderId="21" xfId="0" applyNumberFormat="1" applyFont="1" applyFill="1" applyBorder="1" applyAlignment="1"/>
    <xf numFmtId="189" fontId="3" fillId="0" borderId="21" xfId="0" applyNumberFormat="1" applyFont="1" applyBorder="1" applyAlignment="1"/>
    <xf numFmtId="188" fontId="42" fillId="26" borderId="8" xfId="0" applyNumberFormat="1" applyFont="1" applyFill="1" applyBorder="1" applyAlignment="1"/>
    <xf numFmtId="188" fontId="42" fillId="26" borderId="9" xfId="0" applyNumberFormat="1" applyFont="1" applyFill="1" applyBorder="1" applyAlignment="1"/>
    <xf numFmtId="0" fontId="42" fillId="26" borderId="9" xfId="0" applyFont="1" applyFill="1" applyBorder="1" applyAlignment="1"/>
    <xf numFmtId="0" fontId="42" fillId="26" borderId="10" xfId="0" applyFont="1" applyFill="1" applyBorder="1" applyAlignment="1"/>
    <xf numFmtId="188" fontId="42" fillId="2" borderId="9" xfId="0" applyNumberFormat="1" applyFont="1" applyFill="1" applyBorder="1" applyAlignment="1"/>
    <xf numFmtId="188" fontId="42" fillId="2" borderId="8" xfId="0" applyNumberFormat="1" applyFont="1" applyFill="1" applyBorder="1" applyAlignment="1"/>
    <xf numFmtId="188" fontId="42" fillId="0" borderId="8" xfId="0" applyNumberFormat="1" applyFont="1" applyBorder="1" applyAlignment="1"/>
    <xf numFmtId="188" fontId="42" fillId="0" borderId="9" xfId="0" applyNumberFormat="1" applyFont="1" applyBorder="1" applyAlignment="1"/>
    <xf numFmtId="0" fontId="42" fillId="23" borderId="9" xfId="0" applyFont="1" applyFill="1" applyBorder="1" applyAlignment="1"/>
    <xf numFmtId="0" fontId="42" fillId="23" borderId="10" xfId="0" applyFont="1" applyFill="1" applyBorder="1" applyAlignment="1"/>
    <xf numFmtId="0" fontId="42" fillId="0" borderId="10" xfId="0" applyFont="1" applyBorder="1" applyAlignment="1"/>
    <xf numFmtId="0" fontId="42" fillId="0" borderId="9" xfId="0" applyFont="1" applyBorder="1" applyAlignment="1"/>
    <xf numFmtId="188" fontId="40" fillId="26" borderId="8" xfId="0" applyNumberFormat="1" applyFont="1" applyFill="1" applyBorder="1" applyAlignment="1"/>
    <xf numFmtId="188" fontId="40" fillId="26" borderId="9" xfId="0" applyNumberFormat="1" applyFont="1" applyFill="1" applyBorder="1" applyAlignment="1"/>
    <xf numFmtId="0" fontId="1" fillId="26" borderId="9" xfId="0" applyFont="1" applyFill="1" applyBorder="1" applyAlignment="1"/>
    <xf numFmtId="0" fontId="40" fillId="26" borderId="9" xfId="0" applyFont="1" applyFill="1" applyBorder="1" applyAlignment="1"/>
    <xf numFmtId="0" fontId="40" fillId="26" borderId="10" xfId="0" applyFont="1" applyFill="1" applyBorder="1" applyAlignment="1"/>
    <xf numFmtId="0" fontId="1" fillId="26" borderId="10" xfId="0" applyFont="1" applyFill="1" applyBorder="1" applyAlignment="1">
      <alignment horizontal="center" wrapText="1"/>
    </xf>
    <xf numFmtId="187" fontId="1" fillId="26" borderId="10" xfId="0" applyNumberFormat="1" applyFont="1" applyFill="1" applyBorder="1" applyAlignment="1">
      <alignment horizontal="right"/>
    </xf>
    <xf numFmtId="189" fontId="1" fillId="26" borderId="10" xfId="0" applyNumberFormat="1" applyFont="1" applyFill="1" applyBorder="1" applyAlignment="1">
      <alignment horizontal="right"/>
    </xf>
    <xf numFmtId="188" fontId="1" fillId="0" borderId="10" xfId="0" applyNumberFormat="1" applyFont="1" applyBorder="1" applyAlignment="1">
      <alignment horizontal="center" wrapText="1"/>
    </xf>
    <xf numFmtId="188" fontId="40" fillId="2" borderId="8" xfId="0" applyNumberFormat="1" applyFont="1" applyFill="1" applyBorder="1" applyAlignment="1"/>
    <xf numFmtId="188" fontId="1" fillId="2" borderId="9" xfId="0" applyNumberFormat="1" applyFont="1" applyFill="1" applyBorder="1" applyAlignment="1"/>
    <xf numFmtId="0" fontId="43" fillId="0" borderId="10" xfId="0" applyFont="1" applyBorder="1" applyAlignment="1">
      <alignment horizontal="center"/>
    </xf>
    <xf numFmtId="188" fontId="43" fillId="0" borderId="9" xfId="0" quotePrefix="1" applyNumberFormat="1" applyFont="1" applyBorder="1" applyAlignment="1"/>
    <xf numFmtId="0" fontId="43" fillId="0" borderId="9" xfId="0" quotePrefix="1" applyFont="1" applyBorder="1" applyAlignment="1"/>
    <xf numFmtId="187" fontId="6" fillId="33" borderId="25" xfId="0" applyNumberFormat="1" applyFont="1" applyFill="1" applyBorder="1" applyAlignment="1">
      <alignment horizontal="right"/>
    </xf>
    <xf numFmtId="187" fontId="3" fillId="2" borderId="18" xfId="0" applyNumberFormat="1" applyFont="1" applyFill="1" applyBorder="1" applyAlignment="1"/>
    <xf numFmtId="187" fontId="3" fillId="0" borderId="18" xfId="0" applyNumberFormat="1" applyFont="1" applyBorder="1" applyAlignment="1"/>
    <xf numFmtId="187" fontId="8" fillId="2" borderId="18" xfId="0" applyNumberFormat="1" applyFont="1" applyFill="1" applyBorder="1" applyAlignment="1">
      <alignment horizontal="right"/>
    </xf>
    <xf numFmtId="187" fontId="43" fillId="2" borderId="18" xfId="0" applyNumberFormat="1" applyFont="1" applyFill="1" applyBorder="1" applyAlignment="1">
      <alignment horizontal="right"/>
    </xf>
    <xf numFmtId="187" fontId="3" fillId="27" borderId="18" xfId="0" applyNumberFormat="1" applyFont="1" applyFill="1" applyBorder="1" applyAlignment="1"/>
    <xf numFmtId="187" fontId="3" fillId="27" borderId="17" xfId="0" applyNumberFormat="1" applyFont="1" applyFill="1" applyBorder="1" applyAlignment="1"/>
    <xf numFmtId="0" fontId="41" fillId="2" borderId="9" xfId="0" quotePrefix="1" applyFont="1" applyFill="1" applyBorder="1" applyAlignment="1"/>
    <xf numFmtId="187" fontId="8" fillId="39" borderId="10" xfId="0" applyNumberFormat="1" applyFont="1" applyFill="1" applyBorder="1" applyAlignment="1">
      <alignment horizontal="right"/>
    </xf>
    <xf numFmtId="0" fontId="4" fillId="5" borderId="6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top"/>
    </xf>
    <xf numFmtId="46" fontId="40" fillId="2" borderId="19" xfId="0" applyNumberFormat="1" applyFont="1" applyFill="1" applyBorder="1" applyAlignment="1"/>
    <xf numFmtId="188" fontId="40" fillId="2" borderId="20" xfId="0" applyNumberFormat="1" applyFont="1" applyFill="1" applyBorder="1" applyAlignment="1"/>
    <xf numFmtId="0" fontId="43" fillId="2" borderId="20" xfId="0" quotePrefix="1" applyFont="1" applyFill="1" applyBorder="1" applyAlignment="1"/>
    <xf numFmtId="0" fontId="40" fillId="2" borderId="20" xfId="0" applyFont="1" applyFill="1" applyBorder="1" applyAlignment="1"/>
    <xf numFmtId="0" fontId="40" fillId="2" borderId="21" xfId="0" applyFont="1" applyFill="1" applyBorder="1" applyAlignment="1"/>
    <xf numFmtId="188" fontId="43" fillId="2" borderId="21" xfId="0" applyNumberFormat="1" applyFont="1" applyFill="1" applyBorder="1" applyAlignment="1">
      <alignment horizontal="center"/>
    </xf>
    <xf numFmtId="187" fontId="43" fillId="2" borderId="21" xfId="0" applyNumberFormat="1" applyFont="1" applyFill="1" applyBorder="1" applyAlignment="1">
      <alignment horizontal="right"/>
    </xf>
    <xf numFmtId="187" fontId="43" fillId="24" borderId="21" xfId="0" applyNumberFormat="1" applyFont="1" applyFill="1" applyBorder="1" applyAlignment="1">
      <alignment horizontal="right"/>
    </xf>
    <xf numFmtId="189" fontId="43" fillId="2" borderId="21" xfId="0" applyNumberFormat="1" applyFont="1" applyFill="1" applyBorder="1" applyAlignment="1">
      <alignment horizontal="right"/>
    </xf>
    <xf numFmtId="188" fontId="42" fillId="0" borderId="7" xfId="0" applyNumberFormat="1" applyFont="1" applyBorder="1" applyAlignment="1"/>
    <xf numFmtId="188" fontId="42" fillId="0" borderId="1" xfId="0" applyNumberFormat="1" applyFont="1" applyBorder="1" applyAlignment="1"/>
    <xf numFmtId="0" fontId="42" fillId="0" borderId="1" xfId="0" applyFont="1" applyBorder="1" applyAlignment="1"/>
    <xf numFmtId="0" fontId="42" fillId="0" borderId="2" xfId="0" applyFont="1" applyBorder="1" applyAlignment="1"/>
    <xf numFmtId="189" fontId="42" fillId="0" borderId="17" xfId="0" applyNumberFormat="1" applyFont="1" applyBorder="1" applyAlignment="1"/>
    <xf numFmtId="189" fontId="42" fillId="0" borderId="2" xfId="0" applyNumberFormat="1" applyFont="1" applyBorder="1" applyAlignment="1"/>
    <xf numFmtId="190" fontId="40" fillId="33" borderId="14" xfId="0" applyNumberFormat="1" applyFont="1" applyFill="1" applyBorder="1" applyAlignment="1"/>
    <xf numFmtId="188" fontId="1" fillId="33" borderId="15" xfId="0" applyNumberFormat="1" applyFont="1" applyFill="1" applyBorder="1" applyAlignment="1"/>
    <xf numFmtId="190" fontId="40" fillId="33" borderId="15" xfId="0" applyNumberFormat="1" applyFont="1" applyFill="1" applyBorder="1" applyAlignment="1"/>
    <xf numFmtId="188" fontId="40" fillId="33" borderId="15" xfId="0" applyNumberFormat="1" applyFont="1" applyFill="1" applyBorder="1" applyAlignment="1"/>
    <xf numFmtId="0" fontId="40" fillId="33" borderId="15" xfId="0" applyFont="1" applyFill="1" applyBorder="1" applyAlignment="1"/>
    <xf numFmtId="0" fontId="40" fillId="33" borderId="16" xfId="0" applyFont="1" applyFill="1" applyBorder="1" applyAlignment="1"/>
    <xf numFmtId="188" fontId="1" fillId="33" borderId="16" xfId="0" applyNumberFormat="1" applyFont="1" applyFill="1" applyBorder="1" applyAlignment="1">
      <alignment horizontal="center" wrapText="1"/>
    </xf>
    <xf numFmtId="187" fontId="1" fillId="33" borderId="16" xfId="0" applyNumberFormat="1" applyFont="1" applyFill="1" applyBorder="1" applyAlignment="1">
      <alignment horizontal="right"/>
    </xf>
    <xf numFmtId="189" fontId="1" fillId="33" borderId="16" xfId="0" applyNumberFormat="1" applyFont="1" applyFill="1" applyBorder="1" applyAlignment="1">
      <alignment horizontal="right"/>
    </xf>
    <xf numFmtId="188" fontId="41" fillId="2" borderId="9" xfId="0" applyNumberFormat="1" applyFont="1" applyFill="1" applyBorder="1" applyAlignment="1"/>
    <xf numFmtId="188" fontId="44" fillId="2" borderId="9" xfId="0" applyNumberFormat="1" applyFont="1" applyFill="1" applyBorder="1" applyAlignment="1"/>
    <xf numFmtId="188" fontId="41" fillId="23" borderId="9" xfId="0" quotePrefix="1" applyNumberFormat="1" applyFont="1" applyFill="1" applyBorder="1" applyAlignment="1"/>
    <xf numFmtId="188" fontId="40" fillId="0" borderId="10" xfId="0" applyNumberFormat="1" applyFont="1" applyBorder="1" applyAlignment="1"/>
    <xf numFmtId="188" fontId="40" fillId="27" borderId="9" xfId="0" applyNumberFormat="1" applyFont="1" applyFill="1" applyBorder="1" applyAlignment="1"/>
    <xf numFmtId="188" fontId="40" fillId="27" borderId="10" xfId="0" applyNumberFormat="1" applyFont="1" applyFill="1" applyBorder="1" applyAlignment="1"/>
    <xf numFmtId="187" fontId="40" fillId="27" borderId="10" xfId="0" applyNumberFormat="1" applyFont="1" applyFill="1" applyBorder="1" applyAlignment="1"/>
    <xf numFmtId="189" fontId="40" fillId="27" borderId="10" xfId="0" applyNumberFormat="1" applyFont="1" applyFill="1" applyBorder="1" applyAlignment="1"/>
    <xf numFmtId="188" fontId="40" fillId="27" borderId="1" xfId="0" applyNumberFormat="1" applyFont="1" applyFill="1" applyBorder="1" applyAlignment="1"/>
    <xf numFmtId="188" fontId="40" fillId="27" borderId="2" xfId="0" applyNumberFormat="1" applyFont="1" applyFill="1" applyBorder="1" applyAlignment="1"/>
    <xf numFmtId="187" fontId="40" fillId="27" borderId="2" xfId="0" applyNumberFormat="1" applyFont="1" applyFill="1" applyBorder="1" applyAlignment="1"/>
    <xf numFmtId="189" fontId="40" fillId="27" borderId="2" xfId="0" applyNumberFormat="1" applyFont="1" applyFill="1" applyBorder="1" applyAlignment="1"/>
    <xf numFmtId="189" fontId="6" fillId="6" borderId="2" xfId="0" applyNumberFormat="1" applyFont="1" applyFill="1" applyBorder="1" applyAlignment="1">
      <alignment horizontal="center" vertical="center" wrapText="1"/>
    </xf>
    <xf numFmtId="188" fontId="6" fillId="6" borderId="2" xfId="0" applyNumberFormat="1" applyFont="1" applyFill="1" applyBorder="1" applyAlignment="1">
      <alignment horizontal="center" vertical="center" wrapText="1"/>
    </xf>
    <xf numFmtId="189" fontId="6" fillId="7" borderId="2" xfId="0" applyNumberFormat="1" applyFont="1" applyFill="1" applyBorder="1" applyAlignment="1">
      <alignment horizontal="center" vertical="center" wrapText="1"/>
    </xf>
    <xf numFmtId="189" fontId="6" fillId="9" borderId="2" xfId="0" applyNumberFormat="1" applyFont="1" applyFill="1" applyBorder="1" applyAlignment="1">
      <alignment horizontal="center" vertical="center" wrapText="1"/>
    </xf>
    <xf numFmtId="189" fontId="6" fillId="8" borderId="2" xfId="0" applyNumberFormat="1" applyFont="1" applyFill="1" applyBorder="1" applyAlignment="1">
      <alignment horizontal="center" vertical="center" wrapText="1"/>
    </xf>
    <xf numFmtId="189" fontId="6" fillId="7" borderId="1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89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/>
    <xf numFmtId="189" fontId="6" fillId="7" borderId="1" xfId="0" applyNumberFormat="1" applyFont="1" applyFill="1" applyBorder="1" applyAlignment="1">
      <alignment horizontal="center" wrapText="1"/>
    </xf>
    <xf numFmtId="188" fontId="4" fillId="3" borderId="3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188" fontId="4" fillId="4" borderId="3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30" fillId="2" borderId="9" xfId="0" applyFont="1" applyFill="1" applyBorder="1" applyAlignment="1"/>
    <xf numFmtId="0" fontId="5" fillId="0" borderId="9" xfId="0" applyFont="1" applyBorder="1"/>
    <xf numFmtId="0" fontId="5" fillId="0" borderId="10" xfId="0" applyFont="1" applyBorder="1"/>
    <xf numFmtId="0" fontId="33" fillId="2" borderId="9" xfId="0" applyFont="1" applyFill="1" applyBorder="1" applyAlignment="1"/>
    <xf numFmtId="0" fontId="6" fillId="5" borderId="5" xfId="0" applyFont="1" applyFill="1" applyBorder="1" applyAlignment="1">
      <alignment horizontal="center"/>
    </xf>
    <xf numFmtId="0" fontId="0" fillId="0" borderId="0" xfId="0" applyFont="1" applyAlignment="1"/>
    <xf numFmtId="0" fontId="5" fillId="0" borderId="6" xfId="0" applyFont="1" applyBorder="1"/>
    <xf numFmtId="0" fontId="5" fillId="0" borderId="7" xfId="0" applyFont="1" applyBorder="1"/>
    <xf numFmtId="0" fontId="3" fillId="10" borderId="7" xfId="0" applyFont="1" applyFill="1" applyBorder="1" applyAlignment="1"/>
    <xf numFmtId="0" fontId="6" fillId="11" borderId="7" xfId="0" applyFont="1" applyFill="1" applyBorder="1" applyAlignment="1"/>
    <xf numFmtId="0" fontId="6" fillId="17" borderId="7" xfId="0" applyFont="1" applyFill="1" applyBorder="1" applyAlignment="1"/>
    <xf numFmtId="0" fontId="6" fillId="18" borderId="9" xfId="0" applyFont="1" applyFill="1" applyBorder="1" applyAlignment="1"/>
    <xf numFmtId="188" fontId="26" fillId="2" borderId="1" xfId="0" applyNumberFormat="1" applyFont="1" applyFill="1" applyBorder="1" applyAlignment="1"/>
    <xf numFmtId="188" fontId="7" fillId="2" borderId="1" xfId="0" applyNumberFormat="1" applyFont="1" applyFill="1" applyBorder="1" applyAlignment="1"/>
    <xf numFmtId="0" fontId="6" fillId="0" borderId="0" xfId="0" applyFont="1" applyAlignment="1">
      <alignment horizontal="center"/>
    </xf>
    <xf numFmtId="188" fontId="4" fillId="3" borderId="7" xfId="0" applyNumberFormat="1" applyFont="1" applyFill="1" applyBorder="1" applyAlignment="1">
      <alignment horizontal="center"/>
    </xf>
    <xf numFmtId="188" fontId="4" fillId="4" borderId="1" xfId="0" applyNumberFormat="1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 vertical="top"/>
    </xf>
    <xf numFmtId="189" fontId="6" fillId="7" borderId="7" xfId="0" applyNumberFormat="1" applyFont="1" applyFill="1" applyBorder="1" applyAlignment="1">
      <alignment horizontal="center" wrapText="1"/>
    </xf>
    <xf numFmtId="0" fontId="7" fillId="2" borderId="9" xfId="0" applyFont="1" applyFill="1" applyBorder="1" applyAlignment="1"/>
    <xf numFmtId="0" fontId="19" fillId="2" borderId="9" xfId="0" applyFont="1" applyFill="1" applyBorder="1" applyAlignment="1"/>
    <xf numFmtId="0" fontId="39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8"/>
  <sheetViews>
    <sheetView view="pageBreakPreview" zoomScale="60" zoomScaleNormal="70" workbookViewId="0">
      <pane xSplit="8" ySplit="7" topLeftCell="I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2.5703125" bestFit="1" customWidth="1"/>
    <col min="16" max="16" width="12" bestFit="1" customWidth="1"/>
    <col min="17" max="18" width="23" bestFit="1" customWidth="1"/>
    <col min="19" max="19" width="18.85546875" customWidth="1"/>
    <col min="20" max="20" width="10.7109375" bestFit="1" customWidth="1"/>
    <col min="21" max="21" width="12" bestFit="1" customWidth="1"/>
  </cols>
  <sheetData>
    <row r="1" spans="1:21" ht="15.75" customHeight="1" x14ac:dyDescent="0.3">
      <c r="A1" s="801" t="s">
        <v>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</row>
    <row r="2" spans="1:21" ht="15.75" customHeight="1" x14ac:dyDescent="0.3">
      <c r="A2" s="801" t="s">
        <v>1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</row>
    <row r="3" spans="1:21" ht="15.75" customHeight="1" x14ac:dyDescent="0.3">
      <c r="A3" s="801" t="s">
        <v>333</v>
      </c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</row>
    <row r="4" spans="1:21" ht="15.75" customHeight="1" x14ac:dyDescent="0.3">
      <c r="A4" s="2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B4" s="1"/>
      <c r="C4" s="1"/>
      <c r="D4" s="1"/>
      <c r="E4" s="1"/>
      <c r="F4" s="1"/>
      <c r="G4" s="1"/>
      <c r="H4" s="1"/>
      <c r="I4" s="3"/>
      <c r="J4" s="3"/>
      <c r="K4" s="4"/>
      <c r="L4" s="3"/>
      <c r="M4" s="1"/>
      <c r="N4" s="1"/>
      <c r="O4" s="1"/>
      <c r="P4" s="1"/>
      <c r="Q4" s="1"/>
      <c r="R4" s="1"/>
      <c r="S4" s="1"/>
      <c r="T4" s="1"/>
      <c r="U4" s="1"/>
    </row>
    <row r="5" spans="1:21" ht="15.75" customHeight="1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7"/>
      <c r="L5" s="806" t="s">
        <v>2</v>
      </c>
      <c r="M5" s="807"/>
      <c r="N5" s="807"/>
      <c r="O5" s="807"/>
      <c r="P5" s="808"/>
      <c r="Q5" s="809" t="s">
        <v>3</v>
      </c>
      <c r="R5" s="807"/>
      <c r="S5" s="807"/>
      <c r="T5" s="807"/>
      <c r="U5" s="808"/>
    </row>
    <row r="6" spans="1:21" ht="15.75" customHeight="1" x14ac:dyDescent="0.3">
      <c r="A6" s="815" t="s">
        <v>4</v>
      </c>
      <c r="B6" s="816"/>
      <c r="C6" s="816"/>
      <c r="D6" s="816"/>
      <c r="E6" s="816"/>
      <c r="F6" s="816"/>
      <c r="G6" s="817"/>
      <c r="H6" s="8" t="s">
        <v>5</v>
      </c>
      <c r="I6" s="810" t="s">
        <v>6</v>
      </c>
      <c r="J6" s="803"/>
      <c r="K6" s="804"/>
      <c r="L6" s="805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9"/>
      <c r="I7" s="795" t="s">
        <v>9</v>
      </c>
      <c r="J7" s="796" t="s">
        <v>10</v>
      </c>
      <c r="K7" s="795" t="s">
        <v>11</v>
      </c>
      <c r="L7" s="797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19"/>
      <c r="B8" s="803"/>
      <c r="C8" s="803"/>
      <c r="D8" s="803"/>
      <c r="E8" s="803"/>
      <c r="F8" s="803"/>
      <c r="G8" s="804"/>
      <c r="H8" s="11"/>
      <c r="I8" s="12"/>
      <c r="J8" s="1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5.75" customHeight="1" x14ac:dyDescent="0.3">
      <c r="A18" s="820" t="s">
        <v>17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5.75" customHeight="1" x14ac:dyDescent="0.3">
      <c r="A19" s="23"/>
      <c r="B19" s="24"/>
      <c r="C19" s="25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31">
        <f t="shared" ref="L19:N19" ca="1" si="0">L20+L21</f>
        <v>37625910</v>
      </c>
      <c r="M19" s="31">
        <f t="shared" ca="1" si="0"/>
        <v>39732744.230000004</v>
      </c>
      <c r="N19" s="31">
        <f t="shared" ca="1" si="0"/>
        <v>21375395.219999999</v>
      </c>
      <c r="O19" s="31">
        <f t="shared" ref="O19:O27" ca="1" si="1">IF(L19&gt;0,N19*100/L19,0)</f>
        <v>56.810307631097828</v>
      </c>
      <c r="P19" s="31">
        <f t="shared" ref="P19:P27" ca="1" si="2">IF(M19&gt;0,N19*100/M19,0)</f>
        <v>53.797933251891067</v>
      </c>
      <c r="Q19" s="31">
        <f t="shared" ref="Q19:S19" ca="1" si="3">Q20+Q21</f>
        <v>49791420.039999999</v>
      </c>
      <c r="R19" s="31">
        <f t="shared" ca="1" si="3"/>
        <v>47353915</v>
      </c>
      <c r="S19" s="31">
        <f t="shared" ca="1" si="3"/>
        <v>712664.79</v>
      </c>
      <c r="T19" s="31">
        <f t="shared" ref="T19:T27" ca="1" si="4">IF(Q19&gt;0,S19*100/Q19,0)</f>
        <v>1.4313003915684266</v>
      </c>
      <c r="U19" s="31">
        <f t="shared" ref="U19:U27" ca="1" si="5">IF(R19&gt;0,S19*100/R19,0)</f>
        <v>1.5049754386728109</v>
      </c>
    </row>
    <row r="20" spans="1:21" ht="15.75" customHeight="1" x14ac:dyDescent="0.25">
      <c r="A20" s="23"/>
      <c r="B20" s="24"/>
      <c r="C20" s="24"/>
      <c r="D20" s="24"/>
      <c r="E20" s="32" t="s">
        <v>20</v>
      </c>
      <c r="F20" s="24"/>
      <c r="G20" s="27"/>
      <c r="H20" s="33" t="s">
        <v>14</v>
      </c>
      <c r="I20" s="29"/>
      <c r="J20" s="29"/>
      <c r="K20" s="30"/>
      <c r="L20" s="34">
        <f t="shared" ref="L20:N20" ca="1" si="6">L23+L26</f>
        <v>0</v>
      </c>
      <c r="M20" s="34">
        <f t="shared" ca="1" si="6"/>
        <v>0</v>
      </c>
      <c r="N20" s="34">
        <f t="shared" ca="1" si="6"/>
        <v>0</v>
      </c>
      <c r="O20" s="34">
        <f t="shared" ca="1" si="1"/>
        <v>0</v>
      </c>
      <c r="P20" s="34">
        <f t="shared" ca="1" si="2"/>
        <v>0</v>
      </c>
      <c r="Q20" s="34">
        <f t="shared" ref="Q20:S20" ca="1" si="7">Q23+Q26</f>
        <v>0</v>
      </c>
      <c r="R20" s="34">
        <f t="shared" ca="1" si="7"/>
        <v>0</v>
      </c>
      <c r="S20" s="34">
        <f t="shared" ca="1" si="7"/>
        <v>0</v>
      </c>
      <c r="T20" s="34">
        <f t="shared" ca="1" si="4"/>
        <v>0</v>
      </c>
      <c r="U20" s="34">
        <f t="shared" ca="1" si="5"/>
        <v>0</v>
      </c>
    </row>
    <row r="21" spans="1:21" ht="15.75" customHeight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35">
        <f t="shared" ref="L21:N21" ca="1" si="8">L24+L27</f>
        <v>37625910</v>
      </c>
      <c r="M21" s="35">
        <f t="shared" ca="1" si="8"/>
        <v>39732744.230000004</v>
      </c>
      <c r="N21" s="35">
        <f t="shared" ca="1" si="8"/>
        <v>21375395.219999999</v>
      </c>
      <c r="O21" s="35">
        <f t="shared" ca="1" si="1"/>
        <v>56.810307631097828</v>
      </c>
      <c r="P21" s="35">
        <f t="shared" ca="1" si="2"/>
        <v>53.797933251891067</v>
      </c>
      <c r="Q21" s="35">
        <f t="shared" ref="Q21:S21" ca="1" si="9">Q24+Q27</f>
        <v>49791420.039999999</v>
      </c>
      <c r="R21" s="35">
        <f t="shared" ca="1" si="9"/>
        <v>47353915</v>
      </c>
      <c r="S21" s="35">
        <f t="shared" ca="1" si="9"/>
        <v>712664.79</v>
      </c>
      <c r="T21" s="35">
        <f t="shared" ca="1" si="4"/>
        <v>1.4313003915684266</v>
      </c>
      <c r="U21" s="35">
        <f t="shared" ca="1" si="5"/>
        <v>1.5049754386728109</v>
      </c>
    </row>
    <row r="22" spans="1:21" ht="15.75" customHeight="1" x14ac:dyDescent="0.25">
      <c r="A22" s="36"/>
      <c r="B22" s="37"/>
      <c r="C22" s="37"/>
      <c r="D22" s="38" t="s">
        <v>22</v>
      </c>
      <c r="E22" s="37"/>
      <c r="F22" s="37"/>
      <c r="G22" s="39"/>
      <c r="H22" s="40" t="s">
        <v>14</v>
      </c>
      <c r="I22" s="41"/>
      <c r="J22" s="41"/>
      <c r="K22" s="42"/>
      <c r="L22" s="43">
        <f t="shared" ref="L22:N22" ca="1" si="10">L23+L24</f>
        <v>37625910</v>
      </c>
      <c r="M22" s="43">
        <f t="shared" ca="1" si="10"/>
        <v>39732744.230000004</v>
      </c>
      <c r="N22" s="43">
        <f t="shared" ca="1" si="10"/>
        <v>21375395.219999999</v>
      </c>
      <c r="O22" s="43">
        <f t="shared" ca="1" si="1"/>
        <v>56.810307631097828</v>
      </c>
      <c r="P22" s="43">
        <f t="shared" ca="1" si="2"/>
        <v>53.797933251891067</v>
      </c>
      <c r="Q22" s="43">
        <f t="shared" ref="Q22:S22" ca="1" si="11">Q23+Q24</f>
        <v>49791420.039999999</v>
      </c>
      <c r="R22" s="43">
        <f t="shared" ca="1" si="11"/>
        <v>47353915</v>
      </c>
      <c r="S22" s="43">
        <f t="shared" ca="1" si="11"/>
        <v>712664.79</v>
      </c>
      <c r="T22" s="43">
        <f t="shared" ca="1" si="4"/>
        <v>1.4313003915684266</v>
      </c>
      <c r="U22" s="43">
        <f t="shared" ca="1" si="5"/>
        <v>1.5049754386728109</v>
      </c>
    </row>
    <row r="23" spans="1:21" ht="15.75" customHeight="1" x14ac:dyDescent="0.25">
      <c r="A23" s="36"/>
      <c r="B23" s="37"/>
      <c r="C23" s="37"/>
      <c r="D23" s="37"/>
      <c r="E23" s="44" t="s">
        <v>20</v>
      </c>
      <c r="F23" s="37"/>
      <c r="G23" s="39"/>
      <c r="H23" s="40" t="s">
        <v>14</v>
      </c>
      <c r="I23" s="41"/>
      <c r="J23" s="41"/>
      <c r="K23" s="42"/>
      <c r="L23" s="45">
        <f t="shared" ref="L23:N23" ca="1" si="12">L49+L64+L77+L99+L122+L144+L162+L191+L178+L271+L287+L308+L325+L338+L361+L380+L397+L418+L498+L518+L539+L560+L581+L604+L621+L647+L695+L719+L733+L764</f>
        <v>0</v>
      </c>
      <c r="M23" s="45">
        <f t="shared" ca="1" si="12"/>
        <v>0</v>
      </c>
      <c r="N23" s="45">
        <f t="shared" ca="1" si="12"/>
        <v>0</v>
      </c>
      <c r="O23" s="45">
        <f t="shared" ca="1" si="1"/>
        <v>0</v>
      </c>
      <c r="P23" s="45">
        <f t="shared" ca="1" si="2"/>
        <v>0</v>
      </c>
      <c r="Q23" s="45">
        <f t="shared" ref="Q23:S23" ca="1" si="13">Q49+Q64+Q77+Q99+Q122+Q144+Q162+Q191+Q178+Q271+Q287+Q308+Q325+Q338+Q361+Q380+Q397+Q418+Q498+Q518+Q539+Q560+Q581+Q604+Q621+Q647+Q695+Q719+Q733+Q764</f>
        <v>0</v>
      </c>
      <c r="R23" s="45">
        <f t="shared" ca="1" si="13"/>
        <v>0</v>
      </c>
      <c r="S23" s="45">
        <f t="shared" ca="1" si="13"/>
        <v>0</v>
      </c>
      <c r="T23" s="45">
        <f t="shared" ca="1" si="4"/>
        <v>0</v>
      </c>
      <c r="U23" s="45">
        <f t="shared" ca="1" si="5"/>
        <v>0</v>
      </c>
    </row>
    <row r="24" spans="1:21" ht="15.75" customHeight="1" x14ac:dyDescent="0.25">
      <c r="A24" s="36"/>
      <c r="B24" s="37"/>
      <c r="C24" s="37"/>
      <c r="D24" s="37"/>
      <c r="E24" s="44" t="s">
        <v>21</v>
      </c>
      <c r="F24" s="37"/>
      <c r="G24" s="39"/>
      <c r="H24" s="40" t="s">
        <v>14</v>
      </c>
      <c r="I24" s="41"/>
      <c r="J24" s="41"/>
      <c r="K24" s="42"/>
      <c r="L24" s="43">
        <f t="shared" ref="L24:N24" ca="1" si="14">L50+L65+L78+L100+L123+L145+L163+L192+L179+L272+L288+L309+L326+L339+L362+L381+L398+L419+L499+L519+L540+L561+L582+L605+L622+L648+L696+L720+L734+L765</f>
        <v>37625910</v>
      </c>
      <c r="M24" s="43">
        <f t="shared" ca="1" si="14"/>
        <v>39732744.230000004</v>
      </c>
      <c r="N24" s="43">
        <f t="shared" ca="1" si="14"/>
        <v>21375395.219999999</v>
      </c>
      <c r="O24" s="43">
        <f t="shared" ca="1" si="1"/>
        <v>56.810307631097828</v>
      </c>
      <c r="P24" s="43">
        <f t="shared" ca="1" si="2"/>
        <v>53.797933251891067</v>
      </c>
      <c r="Q24" s="43">
        <f t="shared" ref="Q24:S24" ca="1" si="15">Q50+Q65+Q78+Q100+Q123+Q145+Q163+Q192+Q179+Q272+Q288+Q309+Q326+Q339+Q362+Q381+Q398+Q419+Q499+Q519+Q540+Q561+Q582+Q605+Q622+Q648+Q696+Q720+Q734+Q765</f>
        <v>49791420.039999999</v>
      </c>
      <c r="R24" s="43">
        <f t="shared" ca="1" si="15"/>
        <v>47353915</v>
      </c>
      <c r="S24" s="43">
        <f t="shared" ca="1" si="15"/>
        <v>712664.79</v>
      </c>
      <c r="T24" s="43">
        <f t="shared" ca="1" si="4"/>
        <v>1.4313003915684266</v>
      </c>
      <c r="U24" s="43">
        <f t="shared" ca="1" si="5"/>
        <v>1.5049754386728109</v>
      </c>
    </row>
    <row r="25" spans="1:21" ht="15.75" customHeight="1" x14ac:dyDescent="0.25">
      <c r="A25" s="36"/>
      <c r="B25" s="37"/>
      <c r="C25" s="37"/>
      <c r="D25" s="38" t="s">
        <v>23</v>
      </c>
      <c r="E25" s="37"/>
      <c r="F25" s="37"/>
      <c r="G25" s="39"/>
      <c r="H25" s="40" t="s">
        <v>14</v>
      </c>
      <c r="I25" s="41"/>
      <c r="J25" s="41"/>
      <c r="K25" s="42"/>
      <c r="L25" s="43">
        <f t="shared" ref="L25:N25" ca="1" si="16">L26+L27</f>
        <v>0</v>
      </c>
      <c r="M25" s="43">
        <f t="shared" ca="1" si="16"/>
        <v>0</v>
      </c>
      <c r="N25" s="43">
        <f t="shared" ca="1" si="16"/>
        <v>0</v>
      </c>
      <c r="O25" s="43">
        <f t="shared" ca="1" si="1"/>
        <v>0</v>
      </c>
      <c r="P25" s="43">
        <f t="shared" ca="1" si="2"/>
        <v>0</v>
      </c>
      <c r="Q25" s="43">
        <f t="shared" ref="Q25:S25" ca="1" si="17">Q26+Q27</f>
        <v>0</v>
      </c>
      <c r="R25" s="43">
        <f t="shared" ca="1" si="17"/>
        <v>0</v>
      </c>
      <c r="S25" s="43">
        <f t="shared" ca="1" si="17"/>
        <v>0</v>
      </c>
      <c r="T25" s="43">
        <f t="shared" ca="1" si="4"/>
        <v>0</v>
      </c>
      <c r="U25" s="43">
        <f t="shared" ca="1" si="5"/>
        <v>0</v>
      </c>
    </row>
    <row r="26" spans="1:21" ht="15.75" customHeight="1" x14ac:dyDescent="0.25">
      <c r="A26" s="36"/>
      <c r="B26" s="37"/>
      <c r="C26" s="37"/>
      <c r="D26" s="37"/>
      <c r="E26" s="44" t="s">
        <v>20</v>
      </c>
      <c r="F26" s="37"/>
      <c r="G26" s="39"/>
      <c r="H26" s="40" t="s">
        <v>14</v>
      </c>
      <c r="I26" s="41"/>
      <c r="J26" s="41"/>
      <c r="K26" s="42"/>
      <c r="L26" s="45">
        <f t="shared" ref="L26:N26" ca="1" si="18">L52+L67+L80+L102+L125+L147+L165+L194+L181+L274+L290+L311+L328+L341+L364+L383+L400+L421+L501+L521+L542+L563+L584+L607+L624+L650+L698+L722+L736+L767</f>
        <v>0</v>
      </c>
      <c r="M26" s="45">
        <f t="shared" ca="1" si="18"/>
        <v>0</v>
      </c>
      <c r="N26" s="45">
        <f t="shared" ca="1" si="18"/>
        <v>0</v>
      </c>
      <c r="O26" s="45">
        <f t="shared" ca="1" si="1"/>
        <v>0</v>
      </c>
      <c r="P26" s="45">
        <f t="shared" ca="1" si="2"/>
        <v>0</v>
      </c>
      <c r="Q26" s="45">
        <f t="shared" ref="Q26:S26" ca="1" si="19">Q52+Q67+Q80+Q102+Q125+Q147+Q165+Q194+Q181+Q274+Q290+Q311+Q328+Q341+Q364+Q383+Q400+Q421+Q501+Q521+Q542+Q563+Q584+Q607+Q624+Q650+Q698+Q722+Q736+Q767</f>
        <v>0</v>
      </c>
      <c r="R26" s="45">
        <f t="shared" ca="1" si="19"/>
        <v>0</v>
      </c>
      <c r="S26" s="45">
        <f t="shared" ca="1" si="19"/>
        <v>0</v>
      </c>
      <c r="T26" s="45">
        <f t="shared" ca="1" si="4"/>
        <v>0</v>
      </c>
      <c r="U26" s="45">
        <f t="shared" ca="1" si="5"/>
        <v>0</v>
      </c>
    </row>
    <row r="27" spans="1:21" ht="15.75" customHeight="1" x14ac:dyDescent="0.25">
      <c r="A27" s="36"/>
      <c r="B27" s="37"/>
      <c r="C27" s="37"/>
      <c r="D27" s="37"/>
      <c r="E27" s="44" t="s">
        <v>21</v>
      </c>
      <c r="F27" s="37"/>
      <c r="G27" s="39"/>
      <c r="H27" s="40" t="s">
        <v>14</v>
      </c>
      <c r="I27" s="41"/>
      <c r="J27" s="41"/>
      <c r="K27" s="42"/>
      <c r="L27" s="43">
        <f t="shared" ref="L27:N27" ca="1" si="20">L53+L68+L81+L103+L126+L148+L166+L195+L182+L275+L291+L312+L329+L342+L365+L384+L401+L422+L502+L522+L543+L564+L585+L608+L625+L651+L699+L723+L737+L768</f>
        <v>0</v>
      </c>
      <c r="M27" s="43">
        <f t="shared" ca="1" si="20"/>
        <v>0</v>
      </c>
      <c r="N27" s="43">
        <f t="shared" ca="1" si="20"/>
        <v>0</v>
      </c>
      <c r="O27" s="43">
        <f t="shared" ca="1" si="1"/>
        <v>0</v>
      </c>
      <c r="P27" s="43">
        <f t="shared" ca="1" si="2"/>
        <v>0</v>
      </c>
      <c r="Q27" s="45">
        <f t="shared" ref="Q27:S27" ca="1" si="21">Q53+Q68+Q81+Q103+Q126+Q148+Q166+Q195+Q182+Q275+Q291+Q312+Q329+Q342+Q365+Q384+Q401+Q422+Q502+Q522+Q543+Q564+Q585+Q608+Q625+Q651+Q699+Q723+Q737+Q768</f>
        <v>0</v>
      </c>
      <c r="R27" s="45">
        <f t="shared" ca="1" si="21"/>
        <v>0</v>
      </c>
      <c r="S27" s="45">
        <f t="shared" ca="1" si="21"/>
        <v>0</v>
      </c>
      <c r="T27" s="43">
        <f t="shared" ca="1" si="4"/>
        <v>0</v>
      </c>
      <c r="U27" s="43">
        <f t="shared" ca="1" si="5"/>
        <v>0</v>
      </c>
    </row>
    <row r="28" spans="1:21" ht="15.75" customHeight="1" x14ac:dyDescent="0.25">
      <c r="A28" s="36"/>
      <c r="B28" s="37"/>
      <c r="C28" s="37"/>
      <c r="D28" s="46" t="s">
        <v>24</v>
      </c>
      <c r="E28" s="37"/>
      <c r="F28" s="37"/>
      <c r="G28" s="39"/>
      <c r="H28" s="40" t="s">
        <v>14</v>
      </c>
      <c r="I28" s="41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5.75" customHeight="1" x14ac:dyDescent="0.25">
      <c r="A29" s="36"/>
      <c r="B29" s="37"/>
      <c r="C29" s="37"/>
      <c r="D29" s="37"/>
      <c r="E29" s="44" t="s">
        <v>20</v>
      </c>
      <c r="F29" s="37"/>
      <c r="G29" s="39"/>
      <c r="H29" s="40" t="s">
        <v>14</v>
      </c>
      <c r="I29" s="41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5.75" customHeight="1" x14ac:dyDescent="0.25">
      <c r="A30" s="47"/>
      <c r="B30" s="5"/>
      <c r="C30" s="5"/>
      <c r="D30" s="5"/>
      <c r="E30" s="48" t="s">
        <v>21</v>
      </c>
      <c r="F30" s="5"/>
      <c r="G30" s="49"/>
      <c r="H30" s="50" t="s">
        <v>14</v>
      </c>
      <c r="I30" s="51"/>
      <c r="J30" s="5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19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70" t="s">
        <v>19</v>
      </c>
      <c r="E45" s="68"/>
      <c r="F45" s="68"/>
      <c r="G45" s="71"/>
      <c r="H45" s="72" t="s">
        <v>14</v>
      </c>
      <c r="I45" s="73"/>
      <c r="J45" s="73"/>
      <c r="K45" s="74"/>
      <c r="L45" s="75">
        <f t="shared" ref="L45:N45" ca="1" si="22">L46+L47</f>
        <v>6211395</v>
      </c>
      <c r="M45" s="75">
        <f t="shared" ca="1" si="22"/>
        <v>6732257.2300000004</v>
      </c>
      <c r="N45" s="75">
        <f t="shared" ca="1" si="22"/>
        <v>4633356.7300000004</v>
      </c>
      <c r="O45" s="75">
        <f t="shared" ref="O45:O53" ca="1" si="23">IF(L45&gt;0,N45*100/L45,0)</f>
        <v>74.594462757560905</v>
      </c>
      <c r="P45" s="75">
        <f t="shared" ref="P45:P53" ca="1" si="24">IF(M45&gt;0,N45*100/M45,0)</f>
        <v>68.823227807651676</v>
      </c>
      <c r="Q45" s="75">
        <f t="shared" ref="Q45:S45" ca="1" si="25">Q46+Q47</f>
        <v>0</v>
      </c>
      <c r="R45" s="75">
        <f t="shared" ca="1" si="25"/>
        <v>0</v>
      </c>
      <c r="S45" s="75">
        <f t="shared" ca="1" si="25"/>
        <v>0</v>
      </c>
      <c r="T45" s="75">
        <f t="shared" ref="T45:T53" ca="1" si="26">IF(Q45&gt;0,S45*100/Q45,0)</f>
        <v>0</v>
      </c>
      <c r="U45" s="75">
        <f t="shared" ref="U45:U53" ca="1" si="27">IF(R45&gt;0,S45*100/R45,0)</f>
        <v>0</v>
      </c>
    </row>
    <row r="46" spans="1:21" ht="18.75" x14ac:dyDescent="0.25">
      <c r="A46" s="67"/>
      <c r="B46" s="68"/>
      <c r="C46" s="68"/>
      <c r="D46" s="68"/>
      <c r="E46" s="76" t="s">
        <v>20</v>
      </c>
      <c r="F46" s="68"/>
      <c r="G46" s="71"/>
      <c r="H46" s="77" t="s">
        <v>14</v>
      </c>
      <c r="I46" s="73"/>
      <c r="J46" s="73"/>
      <c r="K46" s="74"/>
      <c r="L46" s="78">
        <f t="shared" ref="L46:N46" si="28">L49+L52</f>
        <v>0</v>
      </c>
      <c r="M46" s="78">
        <f t="shared" si="28"/>
        <v>0</v>
      </c>
      <c r="N46" s="78">
        <f t="shared" si="28"/>
        <v>0</v>
      </c>
      <c r="O46" s="78">
        <f t="shared" si="23"/>
        <v>0</v>
      </c>
      <c r="P46" s="78">
        <f t="shared" si="24"/>
        <v>0</v>
      </c>
      <c r="Q46" s="78">
        <f t="shared" ref="Q46:S46" si="29">Q49+Q52</f>
        <v>0</v>
      </c>
      <c r="R46" s="78">
        <f t="shared" si="29"/>
        <v>0</v>
      </c>
      <c r="S46" s="78">
        <f t="shared" si="29"/>
        <v>0</v>
      </c>
      <c r="T46" s="78">
        <f t="shared" si="26"/>
        <v>0</v>
      </c>
      <c r="U46" s="78">
        <f t="shared" si="27"/>
        <v>0</v>
      </c>
    </row>
    <row r="47" spans="1:21" ht="18.75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79">
        <f t="shared" ref="L47:N47" ca="1" si="30">L50+L53</f>
        <v>6211395</v>
      </c>
      <c r="M47" s="79">
        <f t="shared" ca="1" si="30"/>
        <v>6732257.2300000004</v>
      </c>
      <c r="N47" s="79">
        <f t="shared" ca="1" si="30"/>
        <v>4633356.7300000004</v>
      </c>
      <c r="O47" s="79">
        <f t="shared" ca="1" si="23"/>
        <v>74.594462757560905</v>
      </c>
      <c r="P47" s="79">
        <f t="shared" ca="1" si="24"/>
        <v>68.823227807651676</v>
      </c>
      <c r="Q47" s="79">
        <f t="shared" ref="Q47:S47" ca="1" si="31">Q50+Q53</f>
        <v>0</v>
      </c>
      <c r="R47" s="79">
        <f t="shared" ca="1" si="31"/>
        <v>0</v>
      </c>
      <c r="S47" s="79">
        <f t="shared" ca="1" si="31"/>
        <v>0</v>
      </c>
      <c r="T47" s="79">
        <f t="shared" ca="1" si="26"/>
        <v>0</v>
      </c>
      <c r="U47" s="79">
        <f t="shared" ca="1" si="27"/>
        <v>0</v>
      </c>
    </row>
    <row r="48" spans="1:21" ht="18.75" x14ac:dyDescent="0.25">
      <c r="A48" s="36"/>
      <c r="B48" s="37"/>
      <c r="C48" s="37"/>
      <c r="D48" s="38" t="s">
        <v>22</v>
      </c>
      <c r="E48" s="37"/>
      <c r="F48" s="37"/>
      <c r="G48" s="39"/>
      <c r="H48" s="40" t="s">
        <v>14</v>
      </c>
      <c r="I48" s="41"/>
      <c r="J48" s="41"/>
      <c r="K48" s="42"/>
      <c r="L48" s="43">
        <f t="shared" ref="L48:N48" ca="1" si="32">L49+L50</f>
        <v>6211395</v>
      </c>
      <c r="M48" s="43">
        <f t="shared" ca="1" si="32"/>
        <v>6732257.2300000004</v>
      </c>
      <c r="N48" s="43">
        <f t="shared" ca="1" si="32"/>
        <v>4633356.7300000004</v>
      </c>
      <c r="O48" s="43">
        <f t="shared" ca="1" si="23"/>
        <v>74.594462757560905</v>
      </c>
      <c r="P48" s="43">
        <f t="shared" ca="1" si="24"/>
        <v>68.823227807651676</v>
      </c>
      <c r="Q48" s="43">
        <f t="shared" ref="Q48:S48" ca="1" si="33">Q49+Q50</f>
        <v>0</v>
      </c>
      <c r="R48" s="43">
        <f t="shared" ca="1" si="33"/>
        <v>0</v>
      </c>
      <c r="S48" s="43">
        <f t="shared" ca="1" si="33"/>
        <v>0</v>
      </c>
      <c r="T48" s="43">
        <f t="shared" ca="1" si="26"/>
        <v>0</v>
      </c>
      <c r="U48" s="43">
        <f t="shared" ca="1" si="27"/>
        <v>0</v>
      </c>
    </row>
    <row r="49" spans="1:21" ht="18.75" x14ac:dyDescent="0.25">
      <c r="A49" s="36"/>
      <c r="B49" s="37"/>
      <c r="C49" s="37"/>
      <c r="D49" s="37"/>
      <c r="E49" s="44" t="s">
        <v>20</v>
      </c>
      <c r="F49" s="37"/>
      <c r="G49" s="39"/>
      <c r="H49" s="40" t="s">
        <v>14</v>
      </c>
      <c r="I49" s="41"/>
      <c r="J49" s="41"/>
      <c r="K49" s="42"/>
      <c r="L49" s="80">
        <v>0</v>
      </c>
      <c r="M49" s="80">
        <v>0</v>
      </c>
      <c r="N49" s="80">
        <v>0</v>
      </c>
      <c r="O49" s="45">
        <f t="shared" si="23"/>
        <v>0</v>
      </c>
      <c r="P49" s="45">
        <f t="shared" si="24"/>
        <v>0</v>
      </c>
      <c r="Q49" s="80">
        <v>0</v>
      </c>
      <c r="R49" s="80">
        <v>0</v>
      </c>
      <c r="S49" s="80">
        <v>0</v>
      </c>
      <c r="T49" s="45">
        <f t="shared" si="26"/>
        <v>0</v>
      </c>
      <c r="U49" s="45">
        <f t="shared" si="27"/>
        <v>0</v>
      </c>
    </row>
    <row r="50" spans="1:21" ht="18.75" x14ac:dyDescent="0.25">
      <c r="A50" s="36"/>
      <c r="B50" s="37"/>
      <c r="C50" s="37"/>
      <c r="D50" s="37"/>
      <c r="E50" s="44" t="s">
        <v>21</v>
      </c>
      <c r="F50" s="37"/>
      <c r="G50" s="39"/>
      <c r="H50" s="40" t="s">
        <v>14</v>
      </c>
      <c r="I50" s="41"/>
      <c r="J50" s="41"/>
      <c r="K50" s="42"/>
      <c r="L50" s="43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6211395)</f>
        <v>6211395</v>
      </c>
      <c r="M50" s="43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6732257.23)</f>
        <v>6732257.2300000004</v>
      </c>
      <c r="N50" s="43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4633356.73)</f>
        <v>4633356.7300000004</v>
      </c>
      <c r="O50" s="43">
        <f t="shared" ca="1" si="23"/>
        <v>74.594462757560905</v>
      </c>
      <c r="P50" s="43">
        <f t="shared" ca="1" si="24"/>
        <v>68.823227807651676</v>
      </c>
      <c r="Q50" s="43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50" s="43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50" s="43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50" s="43">
        <f t="shared" ca="1" si="26"/>
        <v>0</v>
      </c>
      <c r="U50" s="43">
        <f t="shared" ca="1" si="27"/>
        <v>0</v>
      </c>
    </row>
    <row r="51" spans="1:21" ht="18.75" x14ac:dyDescent="0.25">
      <c r="A51" s="36"/>
      <c r="B51" s="37"/>
      <c r="C51" s="37"/>
      <c r="D51" s="46" t="s">
        <v>23</v>
      </c>
      <c r="E51" s="37"/>
      <c r="F51" s="37"/>
      <c r="G51" s="39"/>
      <c r="H51" s="40" t="s">
        <v>14</v>
      </c>
      <c r="I51" s="41"/>
      <c r="J51" s="41"/>
      <c r="K51" s="42"/>
      <c r="L51" s="43">
        <f t="shared" ref="L51:N51" ca="1" si="34">L52+L53</f>
        <v>0</v>
      </c>
      <c r="M51" s="43">
        <f t="shared" ca="1" si="34"/>
        <v>0</v>
      </c>
      <c r="N51" s="43">
        <f t="shared" ca="1" si="34"/>
        <v>0</v>
      </c>
      <c r="O51" s="43">
        <f t="shared" ca="1" si="23"/>
        <v>0</v>
      </c>
      <c r="P51" s="43">
        <f t="shared" ca="1" si="24"/>
        <v>0</v>
      </c>
      <c r="Q51" s="43">
        <f t="shared" ref="Q51:S51" ca="1" si="35">Q52+Q53</f>
        <v>0</v>
      </c>
      <c r="R51" s="43">
        <f t="shared" ca="1" si="35"/>
        <v>0</v>
      </c>
      <c r="S51" s="43">
        <f t="shared" ca="1" si="35"/>
        <v>0</v>
      </c>
      <c r="T51" s="43">
        <f t="shared" ca="1" si="26"/>
        <v>0</v>
      </c>
      <c r="U51" s="43">
        <f t="shared" ca="1" si="27"/>
        <v>0</v>
      </c>
    </row>
    <row r="52" spans="1:21" ht="18.75" x14ac:dyDescent="0.25">
      <c r="A52" s="36"/>
      <c r="B52" s="37"/>
      <c r="C52" s="37"/>
      <c r="D52" s="37"/>
      <c r="E52" s="44" t="s">
        <v>20</v>
      </c>
      <c r="F52" s="37"/>
      <c r="G52" s="39"/>
      <c r="H52" s="40" t="s">
        <v>14</v>
      </c>
      <c r="I52" s="41"/>
      <c r="J52" s="41"/>
      <c r="K52" s="42"/>
      <c r="L52" s="80">
        <v>0</v>
      </c>
      <c r="M52" s="80">
        <v>0</v>
      </c>
      <c r="N52" s="80">
        <v>0</v>
      </c>
      <c r="O52" s="45">
        <f t="shared" si="23"/>
        <v>0</v>
      </c>
      <c r="P52" s="45">
        <f t="shared" si="24"/>
        <v>0</v>
      </c>
      <c r="Q52" s="80">
        <v>0</v>
      </c>
      <c r="R52" s="80">
        <v>0</v>
      </c>
      <c r="S52" s="80">
        <v>0</v>
      </c>
      <c r="T52" s="45">
        <f t="shared" si="26"/>
        <v>0</v>
      </c>
      <c r="U52" s="45">
        <f t="shared" si="27"/>
        <v>0</v>
      </c>
    </row>
    <row r="53" spans="1:21" ht="18.75" x14ac:dyDescent="0.25">
      <c r="A53" s="36"/>
      <c r="B53" s="37"/>
      <c r="C53" s="37"/>
      <c r="D53" s="37"/>
      <c r="E53" s="44" t="s">
        <v>21</v>
      </c>
      <c r="F53" s="37"/>
      <c r="G53" s="39"/>
      <c r="H53" s="40" t="s">
        <v>14</v>
      </c>
      <c r="I53" s="41"/>
      <c r="J53" s="41"/>
      <c r="K53" s="42"/>
      <c r="L53" s="43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3" s="43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3" s="43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3" s="43">
        <f t="shared" ca="1" si="23"/>
        <v>0</v>
      </c>
      <c r="P53" s="43">
        <f t="shared" ca="1" si="24"/>
        <v>0</v>
      </c>
      <c r="Q53" s="43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3" s="43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3" s="43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3" s="43">
        <f t="shared" ca="1" si="26"/>
        <v>0</v>
      </c>
      <c r="U53" s="43">
        <f t="shared" ca="1" si="27"/>
        <v>0</v>
      </c>
    </row>
    <row r="54" spans="1:21" ht="18.75" x14ac:dyDescent="0.25">
      <c r="A54" s="36"/>
      <c r="B54" s="37"/>
      <c r="C54" s="37"/>
      <c r="D54" s="46" t="s">
        <v>24</v>
      </c>
      <c r="E54" s="37"/>
      <c r="F54" s="37"/>
      <c r="G54" s="39"/>
      <c r="H54" s="40" t="s">
        <v>14</v>
      </c>
      <c r="I54" s="41"/>
      <c r="J54" s="41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x14ac:dyDescent="0.25">
      <c r="A55" s="36"/>
      <c r="B55" s="37"/>
      <c r="C55" s="37"/>
      <c r="D55" s="37"/>
      <c r="E55" s="44" t="s">
        <v>20</v>
      </c>
      <c r="F55" s="37"/>
      <c r="G55" s="39"/>
      <c r="H55" s="40" t="s">
        <v>14</v>
      </c>
      <c r="I55" s="41"/>
      <c r="J55" s="41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x14ac:dyDescent="0.25">
      <c r="A56" s="47"/>
      <c r="B56" s="5"/>
      <c r="C56" s="5"/>
      <c r="D56" s="5"/>
      <c r="E56" s="48" t="s">
        <v>21</v>
      </c>
      <c r="F56" s="5"/>
      <c r="G56" s="49"/>
      <c r="H56" s="50" t="s">
        <v>14</v>
      </c>
      <c r="I56" s="51"/>
      <c r="J56" s="51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98" t="s">
        <v>19</v>
      </c>
      <c r="E60" s="96"/>
      <c r="F60" s="96"/>
      <c r="G60" s="99"/>
      <c r="H60" s="100" t="s">
        <v>14</v>
      </c>
      <c r="I60" s="101"/>
      <c r="J60" s="101"/>
      <c r="K60" s="102"/>
      <c r="L60" s="103">
        <f t="shared" ref="L60:N60" ca="1" si="36">L61+L62</f>
        <v>8691100</v>
      </c>
      <c r="M60" s="103">
        <f t="shared" ca="1" si="36"/>
        <v>8967550</v>
      </c>
      <c r="N60" s="103">
        <f t="shared" ca="1" si="36"/>
        <v>6004593.79</v>
      </c>
      <c r="O60" s="103">
        <f t="shared" ref="O60:O68" ca="1" si="37">IF(L60&gt;0,N60*100/L60,0)</f>
        <v>69.08899667475923</v>
      </c>
      <c r="P60" s="103">
        <f t="shared" ref="P60:P68" ca="1" si="38">IF(M60&gt;0,N60*100/M60,0)</f>
        <v>66.959133654119569</v>
      </c>
      <c r="Q60" s="103">
        <f t="shared" ref="Q60:S60" ca="1" si="39">Q61+Q62</f>
        <v>0</v>
      </c>
      <c r="R60" s="103">
        <f t="shared" ca="1" si="39"/>
        <v>0</v>
      </c>
      <c r="S60" s="103">
        <f t="shared" ca="1" si="39"/>
        <v>0</v>
      </c>
      <c r="T60" s="103">
        <f t="shared" ref="T60:T68" ca="1" si="40">IF(Q60&gt;0,S60*100/Q60,0)</f>
        <v>0</v>
      </c>
      <c r="U60" s="103">
        <f t="shared" ref="U60:U68" ca="1" si="41">IF(R60&gt;0,S60*100/R60,0)</f>
        <v>0</v>
      </c>
    </row>
    <row r="61" spans="1:21" ht="18.75" x14ac:dyDescent="0.25">
      <c r="A61" s="95"/>
      <c r="B61" s="96"/>
      <c r="C61" s="96"/>
      <c r="D61" s="96"/>
      <c r="E61" s="104" t="s">
        <v>20</v>
      </c>
      <c r="F61" s="96"/>
      <c r="G61" s="99"/>
      <c r="H61" s="105" t="s">
        <v>14</v>
      </c>
      <c r="I61" s="101"/>
      <c r="J61" s="101"/>
      <c r="K61" s="102"/>
      <c r="L61" s="106">
        <f t="shared" ref="L61:N61" ca="1" si="42">L64+L67</f>
        <v>0</v>
      </c>
      <c r="M61" s="106">
        <f t="shared" ca="1" si="42"/>
        <v>0</v>
      </c>
      <c r="N61" s="106">
        <f t="shared" ca="1" si="42"/>
        <v>0</v>
      </c>
      <c r="O61" s="106">
        <f t="shared" ca="1" si="37"/>
        <v>0</v>
      </c>
      <c r="P61" s="106">
        <f t="shared" ca="1" si="38"/>
        <v>0</v>
      </c>
      <c r="Q61" s="107">
        <f t="shared" ref="Q61:S61" ca="1" si="43">Q64+Q67</f>
        <v>0</v>
      </c>
      <c r="R61" s="107">
        <f t="shared" ca="1" si="43"/>
        <v>0</v>
      </c>
      <c r="S61" s="107">
        <f t="shared" ca="1" si="43"/>
        <v>0</v>
      </c>
      <c r="T61" s="107">
        <f t="shared" ca="1" si="40"/>
        <v>0</v>
      </c>
      <c r="U61" s="107">
        <f t="shared" ca="1" si="41"/>
        <v>0</v>
      </c>
    </row>
    <row r="62" spans="1:21" ht="18.75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106">
        <f t="shared" ref="L62:N62" ca="1" si="44">L65+L68</f>
        <v>8691100</v>
      </c>
      <c r="M62" s="106">
        <f t="shared" ca="1" si="44"/>
        <v>8967550</v>
      </c>
      <c r="N62" s="106">
        <f t="shared" ca="1" si="44"/>
        <v>6004593.79</v>
      </c>
      <c r="O62" s="106">
        <f t="shared" ca="1" si="37"/>
        <v>69.08899667475923</v>
      </c>
      <c r="P62" s="106">
        <f t="shared" ca="1" si="38"/>
        <v>66.959133654119569</v>
      </c>
      <c r="Q62" s="106">
        <f t="shared" ref="Q62:S62" ca="1" si="45">Q65+Q68</f>
        <v>0</v>
      </c>
      <c r="R62" s="106">
        <f t="shared" ca="1" si="45"/>
        <v>0</v>
      </c>
      <c r="S62" s="106">
        <f t="shared" ca="1" si="45"/>
        <v>0</v>
      </c>
      <c r="T62" s="106">
        <f t="shared" ca="1" si="40"/>
        <v>0</v>
      </c>
      <c r="U62" s="106">
        <f t="shared" ca="1" si="41"/>
        <v>0</v>
      </c>
    </row>
    <row r="63" spans="1:21" ht="18.75" x14ac:dyDescent="0.25">
      <c r="A63" s="36"/>
      <c r="B63" s="37"/>
      <c r="C63" s="37"/>
      <c r="D63" s="38" t="s">
        <v>22</v>
      </c>
      <c r="E63" s="37"/>
      <c r="F63" s="37"/>
      <c r="G63" s="39"/>
      <c r="H63" s="40" t="s">
        <v>14</v>
      </c>
      <c r="I63" s="41"/>
      <c r="J63" s="41"/>
      <c r="K63" s="42"/>
      <c r="L63" s="43">
        <f t="shared" ref="L63:N63" ca="1" si="46">L64+L65</f>
        <v>8691100</v>
      </c>
      <c r="M63" s="43">
        <f t="shared" ca="1" si="46"/>
        <v>8967550</v>
      </c>
      <c r="N63" s="43">
        <f t="shared" ca="1" si="46"/>
        <v>6004593.79</v>
      </c>
      <c r="O63" s="43">
        <f t="shared" ca="1" si="37"/>
        <v>69.08899667475923</v>
      </c>
      <c r="P63" s="43">
        <f t="shared" ca="1" si="38"/>
        <v>66.959133654119569</v>
      </c>
      <c r="Q63" s="43">
        <f t="shared" ref="Q63:S63" ca="1" si="47">Q64+Q65</f>
        <v>0</v>
      </c>
      <c r="R63" s="43">
        <f t="shared" ca="1" si="47"/>
        <v>0</v>
      </c>
      <c r="S63" s="43">
        <f t="shared" ca="1" si="47"/>
        <v>0</v>
      </c>
      <c r="T63" s="43">
        <f t="shared" ca="1" si="40"/>
        <v>0</v>
      </c>
      <c r="U63" s="43">
        <f t="shared" ca="1" si="41"/>
        <v>0</v>
      </c>
    </row>
    <row r="64" spans="1:21" ht="18.75" x14ac:dyDescent="0.25">
      <c r="A64" s="36"/>
      <c r="B64" s="37"/>
      <c r="C64" s="37"/>
      <c r="D64" s="37"/>
      <c r="E64" s="44" t="s">
        <v>20</v>
      </c>
      <c r="F64" s="37"/>
      <c r="G64" s="39"/>
      <c r="H64" s="40" t="s">
        <v>14</v>
      </c>
      <c r="I64" s="41"/>
      <c r="J64" s="41"/>
      <c r="K64" s="42"/>
      <c r="L64" s="43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4" s="43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4" s="43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4" s="43">
        <f t="shared" ca="1" si="37"/>
        <v>0</v>
      </c>
      <c r="P64" s="43">
        <f t="shared" ca="1" si="38"/>
        <v>0</v>
      </c>
      <c r="Q64" s="45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4" s="45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4" s="45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4" s="45">
        <f t="shared" ca="1" si="40"/>
        <v>0</v>
      </c>
      <c r="U64" s="45">
        <f t="shared" ca="1" si="41"/>
        <v>0</v>
      </c>
    </row>
    <row r="65" spans="1:21" ht="18.75" x14ac:dyDescent="0.25">
      <c r="A65" s="36"/>
      <c r="B65" s="37"/>
      <c r="C65" s="37"/>
      <c r="D65" s="37"/>
      <c r="E65" s="44" t="s">
        <v>21</v>
      </c>
      <c r="F65" s="37"/>
      <c r="G65" s="39"/>
      <c r="H65" s="40" t="s">
        <v>14</v>
      </c>
      <c r="I65" s="41"/>
      <c r="J65" s="41"/>
      <c r="K65" s="42"/>
      <c r="L65" s="43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8691100)</f>
        <v>8691100</v>
      </c>
      <c r="M65" s="43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8967550)</f>
        <v>8967550</v>
      </c>
      <c r="N65" s="43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6004593.79)</f>
        <v>6004593.79</v>
      </c>
      <c r="O65" s="43">
        <f t="shared" ca="1" si="37"/>
        <v>69.08899667475923</v>
      </c>
      <c r="P65" s="43">
        <f t="shared" ca="1" si="38"/>
        <v>66.959133654119569</v>
      </c>
      <c r="Q65" s="43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5" s="43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5" s="43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5" s="43">
        <f t="shared" ca="1" si="40"/>
        <v>0</v>
      </c>
      <c r="U65" s="43">
        <f t="shared" ca="1" si="41"/>
        <v>0</v>
      </c>
    </row>
    <row r="66" spans="1:21" ht="18.75" x14ac:dyDescent="0.25">
      <c r="A66" s="36"/>
      <c r="B66" s="37"/>
      <c r="C66" s="37"/>
      <c r="D66" s="38" t="s">
        <v>23</v>
      </c>
      <c r="E66" s="37"/>
      <c r="F66" s="37"/>
      <c r="G66" s="39"/>
      <c r="H66" s="40" t="s">
        <v>14</v>
      </c>
      <c r="I66" s="41"/>
      <c r="J66" s="41"/>
      <c r="K66" s="42"/>
      <c r="L66" s="43">
        <f t="shared" ref="L66:N66" ca="1" si="48">L67+L68</f>
        <v>0</v>
      </c>
      <c r="M66" s="43">
        <f t="shared" ca="1" si="48"/>
        <v>0</v>
      </c>
      <c r="N66" s="43">
        <f t="shared" ca="1" si="48"/>
        <v>0</v>
      </c>
      <c r="O66" s="43">
        <f t="shared" ca="1" si="37"/>
        <v>0</v>
      </c>
      <c r="P66" s="43">
        <f t="shared" ca="1" si="38"/>
        <v>0</v>
      </c>
      <c r="Q66" s="43">
        <f t="shared" ref="Q66:S66" ca="1" si="49">Q67+Q68</f>
        <v>0</v>
      </c>
      <c r="R66" s="43">
        <f t="shared" ca="1" si="49"/>
        <v>0</v>
      </c>
      <c r="S66" s="43">
        <f t="shared" ca="1" si="49"/>
        <v>0</v>
      </c>
      <c r="T66" s="43">
        <f t="shared" ca="1" si="40"/>
        <v>0</v>
      </c>
      <c r="U66" s="43">
        <f t="shared" ca="1" si="41"/>
        <v>0</v>
      </c>
    </row>
    <row r="67" spans="1:21" ht="18.75" x14ac:dyDescent="0.25">
      <c r="A67" s="36"/>
      <c r="B67" s="37"/>
      <c r="C67" s="37"/>
      <c r="D67" s="37"/>
      <c r="E67" s="44" t="s">
        <v>20</v>
      </c>
      <c r="F67" s="37"/>
      <c r="G67" s="39"/>
      <c r="H67" s="40" t="s">
        <v>14</v>
      </c>
      <c r="I67" s="41"/>
      <c r="J67" s="41"/>
      <c r="K67" s="42"/>
      <c r="L67" s="43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7" s="43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7" s="43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7" s="43">
        <f t="shared" ca="1" si="37"/>
        <v>0</v>
      </c>
      <c r="P67" s="43">
        <f t="shared" ca="1" si="38"/>
        <v>0</v>
      </c>
      <c r="Q67" s="45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7" s="45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7" s="45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7" s="45">
        <f t="shared" ca="1" si="40"/>
        <v>0</v>
      </c>
      <c r="U67" s="45">
        <f t="shared" ca="1" si="41"/>
        <v>0</v>
      </c>
    </row>
    <row r="68" spans="1:21" ht="18.75" x14ac:dyDescent="0.25">
      <c r="A68" s="47"/>
      <c r="B68" s="5"/>
      <c r="C68" s="5"/>
      <c r="D68" s="5"/>
      <c r="E68" s="48" t="s">
        <v>21</v>
      </c>
      <c r="F68" s="5"/>
      <c r="G68" s="49"/>
      <c r="H68" s="50" t="s">
        <v>14</v>
      </c>
      <c r="I68" s="51"/>
      <c r="J68" s="51"/>
      <c r="K68" s="7"/>
      <c r="L68" s="108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0)</f>
        <v>0</v>
      </c>
      <c r="M68" s="108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0)</f>
        <v>0</v>
      </c>
      <c r="N68" s="108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0)</f>
        <v>0</v>
      </c>
      <c r="O68" s="108">
        <f t="shared" ca="1" si="37"/>
        <v>0</v>
      </c>
      <c r="P68" s="108">
        <f t="shared" ca="1" si="38"/>
        <v>0</v>
      </c>
      <c r="Q68" s="108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8" s="108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8" s="108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8" s="108">
        <f t="shared" ca="1" si="40"/>
        <v>0</v>
      </c>
      <c r="U68" s="108">
        <f t="shared" ca="1" si="41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24" t="s">
        <v>34</v>
      </c>
      <c r="I71" s="125">
        <f t="shared" ref="I71:J71" ca="1" si="50">I83</f>
        <v>16</v>
      </c>
      <c r="J71" s="125">
        <f t="shared" ca="1" si="50"/>
        <v>1</v>
      </c>
      <c r="K71" s="31">
        <f t="shared" ref="K71:K72" ca="1" si="51">IF(I71&gt;0,J71*100/I71,0)</f>
        <v>6.25</v>
      </c>
      <c r="L71" s="30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24" t="s">
        <v>35</v>
      </c>
      <c r="I72" s="125">
        <f t="shared" ref="I72:J72" ca="1" si="52">I84</f>
        <v>807</v>
      </c>
      <c r="J72" s="125">
        <f t="shared" ca="1" si="52"/>
        <v>30</v>
      </c>
      <c r="K72" s="31">
        <f t="shared" ca="1" si="51"/>
        <v>3.7174721189591078</v>
      </c>
      <c r="L72" s="30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37"/>
      <c r="C73" s="127" t="s">
        <v>18</v>
      </c>
      <c r="D73" s="128" t="s">
        <v>19</v>
      </c>
      <c r="E73" s="37"/>
      <c r="F73" s="37"/>
      <c r="G73" s="39"/>
      <c r="H73" s="129" t="s">
        <v>14</v>
      </c>
      <c r="I73" s="41"/>
      <c r="J73" s="41"/>
      <c r="K73" s="42"/>
      <c r="L73" s="130">
        <f t="shared" ref="L73:N73" ca="1" si="53">L74+L75</f>
        <v>2660000</v>
      </c>
      <c r="M73" s="130">
        <f t="shared" ca="1" si="53"/>
        <v>2739132</v>
      </c>
      <c r="N73" s="130">
        <f t="shared" ca="1" si="53"/>
        <v>1043210.97</v>
      </c>
      <c r="O73" s="130">
        <f t="shared" ref="O73:O81" ca="1" si="54">IF(L73&gt;0,N73*100/L73,0)</f>
        <v>39.218457518796995</v>
      </c>
      <c r="P73" s="130">
        <f t="shared" ref="P73:P81" ca="1" si="55">IF(M73&gt;0,N73*100/M73,0)</f>
        <v>38.085458094023949</v>
      </c>
      <c r="Q73" s="130">
        <f t="shared" ref="Q73:S73" ca="1" si="56">Q74+Q75</f>
        <v>9330453</v>
      </c>
      <c r="R73" s="130">
        <f t="shared" ca="1" si="56"/>
        <v>9330453</v>
      </c>
      <c r="S73" s="130">
        <f t="shared" ca="1" si="56"/>
        <v>0</v>
      </c>
      <c r="T73" s="130">
        <f t="shared" ref="T73:T81" ca="1" si="57">IF(Q73&gt;0,S73*100/Q73,0)</f>
        <v>0</v>
      </c>
      <c r="U73" s="130">
        <f t="shared" ref="U73:U81" ca="1" si="58">IF(R73&gt;0,S73*100/R73,0)</f>
        <v>0</v>
      </c>
    </row>
    <row r="74" spans="1:21" ht="18.75" x14ac:dyDescent="0.25">
      <c r="A74" s="126"/>
      <c r="B74" s="37"/>
      <c r="C74" s="37"/>
      <c r="D74" s="37"/>
      <c r="E74" s="44" t="s">
        <v>20</v>
      </c>
      <c r="F74" s="37"/>
      <c r="G74" s="39"/>
      <c r="H74" s="131" t="s">
        <v>14</v>
      </c>
      <c r="I74" s="41"/>
      <c r="J74" s="41"/>
      <c r="K74" s="42"/>
      <c r="L74" s="43">
        <f t="shared" ref="L74:N74" ca="1" si="59">L77+L80</f>
        <v>0</v>
      </c>
      <c r="M74" s="43">
        <f t="shared" ca="1" si="59"/>
        <v>0</v>
      </c>
      <c r="N74" s="43">
        <f t="shared" ca="1" si="59"/>
        <v>0</v>
      </c>
      <c r="O74" s="43">
        <f t="shared" ca="1" si="54"/>
        <v>0</v>
      </c>
      <c r="P74" s="43">
        <f t="shared" ca="1" si="55"/>
        <v>0</v>
      </c>
      <c r="Q74" s="45">
        <f t="shared" ref="Q74:S74" ca="1" si="60">Q77+Q80</f>
        <v>0</v>
      </c>
      <c r="R74" s="45">
        <f t="shared" ca="1" si="60"/>
        <v>0</v>
      </c>
      <c r="S74" s="45">
        <f t="shared" ca="1" si="60"/>
        <v>0</v>
      </c>
      <c r="T74" s="45">
        <f t="shared" ca="1" si="57"/>
        <v>0</v>
      </c>
      <c r="U74" s="45">
        <f t="shared" ca="1" si="58"/>
        <v>0</v>
      </c>
    </row>
    <row r="75" spans="1:21" ht="18.75" x14ac:dyDescent="0.25">
      <c r="A75" s="126"/>
      <c r="B75" s="37"/>
      <c r="C75" s="37"/>
      <c r="D75" s="37"/>
      <c r="E75" s="44" t="s">
        <v>21</v>
      </c>
      <c r="F75" s="37"/>
      <c r="G75" s="39"/>
      <c r="H75" s="131" t="s">
        <v>14</v>
      </c>
      <c r="I75" s="41"/>
      <c r="J75" s="41"/>
      <c r="K75" s="42"/>
      <c r="L75" s="43">
        <f t="shared" ref="L75:N75" ca="1" si="61">L78+L81</f>
        <v>2660000</v>
      </c>
      <c r="M75" s="43">
        <f t="shared" ca="1" si="61"/>
        <v>2739132</v>
      </c>
      <c r="N75" s="43">
        <f t="shared" ca="1" si="61"/>
        <v>1043210.97</v>
      </c>
      <c r="O75" s="43">
        <f t="shared" ca="1" si="54"/>
        <v>39.218457518796995</v>
      </c>
      <c r="P75" s="43">
        <f t="shared" ca="1" si="55"/>
        <v>38.085458094023949</v>
      </c>
      <c r="Q75" s="43">
        <f t="shared" ref="Q75:S75" ca="1" si="62">Q78+Q81</f>
        <v>9330453</v>
      </c>
      <c r="R75" s="43">
        <f t="shared" ca="1" si="62"/>
        <v>9330453</v>
      </c>
      <c r="S75" s="43">
        <f t="shared" ca="1" si="62"/>
        <v>0</v>
      </c>
      <c r="T75" s="43">
        <f t="shared" ca="1" si="57"/>
        <v>0</v>
      </c>
      <c r="U75" s="43">
        <f t="shared" ca="1" si="58"/>
        <v>0</v>
      </c>
    </row>
    <row r="76" spans="1:21" ht="18.75" x14ac:dyDescent="0.25">
      <c r="A76" s="126"/>
      <c r="B76" s="37"/>
      <c r="C76" s="37"/>
      <c r="D76" s="38" t="s">
        <v>22</v>
      </c>
      <c r="E76" s="37"/>
      <c r="F76" s="37"/>
      <c r="G76" s="39"/>
      <c r="H76" s="132" t="s">
        <v>14</v>
      </c>
      <c r="I76" s="133"/>
      <c r="J76" s="133"/>
      <c r="K76" s="134"/>
      <c r="L76" s="43">
        <f t="shared" ref="L76:N76" ca="1" si="63">L77+L78</f>
        <v>2660000</v>
      </c>
      <c r="M76" s="43">
        <f t="shared" ca="1" si="63"/>
        <v>2739132</v>
      </c>
      <c r="N76" s="43">
        <f t="shared" ca="1" si="63"/>
        <v>1043210.97</v>
      </c>
      <c r="O76" s="43">
        <f t="shared" ca="1" si="54"/>
        <v>39.218457518796995</v>
      </c>
      <c r="P76" s="43">
        <f t="shared" ca="1" si="55"/>
        <v>38.085458094023949</v>
      </c>
      <c r="Q76" s="43">
        <f t="shared" ref="Q76:S76" ca="1" si="64">Q77+Q78</f>
        <v>9330453</v>
      </c>
      <c r="R76" s="43">
        <f t="shared" ca="1" si="64"/>
        <v>9330453</v>
      </c>
      <c r="S76" s="43">
        <f t="shared" ca="1" si="64"/>
        <v>0</v>
      </c>
      <c r="T76" s="43">
        <f t="shared" ca="1" si="57"/>
        <v>0</v>
      </c>
      <c r="U76" s="43">
        <f t="shared" ca="1" si="58"/>
        <v>0</v>
      </c>
    </row>
    <row r="77" spans="1:21" ht="18.75" x14ac:dyDescent="0.25">
      <c r="A77" s="126"/>
      <c r="B77" s="37"/>
      <c r="C77" s="37"/>
      <c r="D77" s="37"/>
      <c r="E77" s="44" t="s">
        <v>36</v>
      </c>
      <c r="F77" s="37"/>
      <c r="G77" s="39"/>
      <c r="H77" s="132" t="s">
        <v>14</v>
      </c>
      <c r="I77" s="133"/>
      <c r="J77" s="133"/>
      <c r="K77" s="134"/>
      <c r="L77" s="43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7" s="43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7" s="43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7" s="43">
        <f t="shared" ca="1" si="54"/>
        <v>0</v>
      </c>
      <c r="P77" s="43">
        <f t="shared" ca="1" si="55"/>
        <v>0</v>
      </c>
      <c r="Q77" s="45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7" s="45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7" s="45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7" s="45">
        <f t="shared" ca="1" si="57"/>
        <v>0</v>
      </c>
      <c r="U77" s="45">
        <f t="shared" ca="1" si="58"/>
        <v>0</v>
      </c>
    </row>
    <row r="78" spans="1:21" ht="18.75" x14ac:dyDescent="0.25">
      <c r="A78" s="126"/>
      <c r="B78" s="37"/>
      <c r="C78" s="37"/>
      <c r="D78" s="37"/>
      <c r="E78" s="44" t="s">
        <v>37</v>
      </c>
      <c r="F78" s="37"/>
      <c r="G78" s="39"/>
      <c r="H78" s="132" t="s">
        <v>14</v>
      </c>
      <c r="I78" s="133"/>
      <c r="J78" s="133"/>
      <c r="K78" s="134"/>
      <c r="L78" s="43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2660000)</f>
        <v>2660000</v>
      </c>
      <c r="M78" s="43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2739132)</f>
        <v>2739132</v>
      </c>
      <c r="N78" s="43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1043210.97)</f>
        <v>1043210.97</v>
      </c>
      <c r="O78" s="43">
        <f t="shared" ca="1" si="54"/>
        <v>39.218457518796995</v>
      </c>
      <c r="P78" s="43">
        <f t="shared" ca="1" si="55"/>
        <v>38.085458094023949</v>
      </c>
      <c r="Q78" s="43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9330453)</f>
        <v>9330453</v>
      </c>
      <c r="R78" s="43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9330453)</f>
        <v>9330453</v>
      </c>
      <c r="S78" s="43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0)</f>
        <v>0</v>
      </c>
      <c r="T78" s="43">
        <f t="shared" ca="1" si="57"/>
        <v>0</v>
      </c>
      <c r="U78" s="43">
        <f t="shared" ca="1" si="58"/>
        <v>0</v>
      </c>
    </row>
    <row r="79" spans="1:21" ht="18.75" x14ac:dyDescent="0.25">
      <c r="A79" s="126"/>
      <c r="B79" s="37"/>
      <c r="C79" s="37"/>
      <c r="D79" s="38" t="s">
        <v>23</v>
      </c>
      <c r="E79" s="37"/>
      <c r="F79" s="37"/>
      <c r="G79" s="39"/>
      <c r="H79" s="135" t="s">
        <v>14</v>
      </c>
      <c r="I79" s="133"/>
      <c r="J79" s="133"/>
      <c r="K79" s="134"/>
      <c r="L79" s="43">
        <f t="shared" ref="L79:N79" ca="1" si="65">L80+L81</f>
        <v>0</v>
      </c>
      <c r="M79" s="43">
        <f t="shared" ca="1" si="65"/>
        <v>0</v>
      </c>
      <c r="N79" s="43">
        <f t="shared" ca="1" si="65"/>
        <v>0</v>
      </c>
      <c r="O79" s="43">
        <f t="shared" ca="1" si="54"/>
        <v>0</v>
      </c>
      <c r="P79" s="43">
        <f t="shared" ca="1" si="55"/>
        <v>0</v>
      </c>
      <c r="Q79" s="43">
        <f t="shared" ref="Q79:S79" ca="1" si="66">Q80+Q81</f>
        <v>0</v>
      </c>
      <c r="R79" s="43">
        <f t="shared" ca="1" si="66"/>
        <v>0</v>
      </c>
      <c r="S79" s="43">
        <f t="shared" ca="1" si="66"/>
        <v>0</v>
      </c>
      <c r="T79" s="43">
        <f t="shared" ca="1" si="57"/>
        <v>0</v>
      </c>
      <c r="U79" s="43">
        <f t="shared" ca="1" si="58"/>
        <v>0</v>
      </c>
    </row>
    <row r="80" spans="1:21" ht="18.75" x14ac:dyDescent="0.25">
      <c r="A80" s="126"/>
      <c r="B80" s="37"/>
      <c r="C80" s="37"/>
      <c r="D80" s="37"/>
      <c r="E80" s="44" t="s">
        <v>20</v>
      </c>
      <c r="F80" s="37"/>
      <c r="G80" s="39"/>
      <c r="H80" s="132" t="s">
        <v>14</v>
      </c>
      <c r="I80" s="133"/>
      <c r="J80" s="133"/>
      <c r="K80" s="134"/>
      <c r="L80" s="43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80" s="43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80" s="43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80" s="43">
        <f t="shared" ca="1" si="54"/>
        <v>0</v>
      </c>
      <c r="P80" s="43">
        <f t="shared" ca="1" si="55"/>
        <v>0</v>
      </c>
      <c r="Q80" s="45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80" s="45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80" s="45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80" s="45">
        <f t="shared" ca="1" si="57"/>
        <v>0</v>
      </c>
      <c r="U80" s="45">
        <f t="shared" ca="1" si="58"/>
        <v>0</v>
      </c>
    </row>
    <row r="81" spans="1:21" ht="18.75" x14ac:dyDescent="0.25">
      <c r="A81" s="126"/>
      <c r="B81" s="37"/>
      <c r="C81" s="37"/>
      <c r="D81" s="37"/>
      <c r="E81" s="44" t="s">
        <v>21</v>
      </c>
      <c r="F81" s="37"/>
      <c r="G81" s="39"/>
      <c r="H81" s="135" t="s">
        <v>14</v>
      </c>
      <c r="I81" s="133"/>
      <c r="J81" s="133"/>
      <c r="K81" s="134"/>
      <c r="L81" s="43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1" s="43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1" s="43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1" s="43">
        <f t="shared" ca="1" si="54"/>
        <v>0</v>
      </c>
      <c r="P81" s="43">
        <f t="shared" ca="1" si="55"/>
        <v>0</v>
      </c>
      <c r="Q81" s="43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0)</f>
        <v>0</v>
      </c>
      <c r="R81" s="43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0)</f>
        <v>0</v>
      </c>
      <c r="S81" s="43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0)</f>
        <v>0</v>
      </c>
      <c r="T81" s="43">
        <f t="shared" ca="1" si="57"/>
        <v>0</v>
      </c>
      <c r="U81" s="43">
        <f t="shared" ca="1" si="58"/>
        <v>0</v>
      </c>
    </row>
    <row r="82" spans="1:21" ht="19.5" x14ac:dyDescent="0.3">
      <c r="A82" s="136"/>
      <c r="B82" s="137"/>
      <c r="C82" s="127" t="s">
        <v>18</v>
      </c>
      <c r="D82" s="138" t="s">
        <v>38</v>
      </c>
      <c r="E82" s="139"/>
      <c r="F82" s="139"/>
      <c r="G82" s="140"/>
      <c r="H82" s="141"/>
      <c r="I82" s="133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142" t="s">
        <v>39</v>
      </c>
      <c r="E83" s="143"/>
      <c r="F83" s="143"/>
      <c r="G83" s="141"/>
      <c r="H83" s="144" t="s">
        <v>34</v>
      </c>
      <c r="I83" s="145">
        <f t="shared" ref="I83:J83" ca="1" si="67">I85+I87+I89</f>
        <v>16</v>
      </c>
      <c r="J83" s="145">
        <f t="shared" ca="1" si="67"/>
        <v>1</v>
      </c>
      <c r="K83" s="146">
        <f t="shared" ref="K83:K91" ca="1" si="68">IF(I83&gt;0,J83*100/I83,0)</f>
        <v>6.25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43"/>
      <c r="F84" s="143"/>
      <c r="G84" s="141"/>
      <c r="H84" s="144" t="s">
        <v>35</v>
      </c>
      <c r="I84" s="145">
        <f t="shared" ref="I84:J84" ca="1" si="69">I86+I88+I90</f>
        <v>807</v>
      </c>
      <c r="J84" s="145">
        <f t="shared" ca="1" si="69"/>
        <v>30</v>
      </c>
      <c r="K84" s="146">
        <f t="shared" ca="1" si="68"/>
        <v>3.7174721189591078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47" t="s">
        <v>40</v>
      </c>
      <c r="F85" s="143"/>
      <c r="G85" s="141"/>
      <c r="H85" s="148" t="s">
        <v>34</v>
      </c>
      <c r="I85" s="149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5" s="149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0)</f>
        <v>0</v>
      </c>
      <c r="K85" s="150">
        <f t="shared" ca="1" si="68"/>
        <v>0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43"/>
      <c r="F86" s="143"/>
      <c r="G86" s="141"/>
      <c r="H86" s="148" t="s">
        <v>35</v>
      </c>
      <c r="I86" s="149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6" s="149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0)</f>
        <v>0</v>
      </c>
      <c r="K86" s="150">
        <f t="shared" ca="1" si="68"/>
        <v>0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47" t="s">
        <v>41</v>
      </c>
      <c r="F87" s="143"/>
      <c r="G87" s="141"/>
      <c r="H87" s="148" t="s">
        <v>34</v>
      </c>
      <c r="I87" s="149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7" s="149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0)</f>
        <v>0</v>
      </c>
      <c r="K87" s="150">
        <f t="shared" ca="1" si="68"/>
        <v>0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43"/>
      <c r="F88" s="143"/>
      <c r="G88" s="141"/>
      <c r="H88" s="148" t="s">
        <v>35</v>
      </c>
      <c r="I88" s="149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184)</f>
        <v>184</v>
      </c>
      <c r="J88" s="149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0)</f>
        <v>0</v>
      </c>
      <c r="K88" s="150">
        <f t="shared" ca="1" si="68"/>
        <v>0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47" t="s">
        <v>42</v>
      </c>
      <c r="F89" s="143"/>
      <c r="G89" s="141"/>
      <c r="H89" s="148" t="s">
        <v>34</v>
      </c>
      <c r="I89" s="149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9" s="149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1)</f>
        <v>1</v>
      </c>
      <c r="K89" s="150">
        <f t="shared" ca="1" si="68"/>
        <v>25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43"/>
      <c r="F90" s="143"/>
      <c r="G90" s="141"/>
      <c r="H90" s="148" t="s">
        <v>35</v>
      </c>
      <c r="I90" s="149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90" s="149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30)</f>
        <v>30</v>
      </c>
      <c r="K90" s="150">
        <f t="shared" ca="1" si="68"/>
        <v>19.108280254777071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142" t="s">
        <v>43</v>
      </c>
      <c r="E91" s="143"/>
      <c r="F91" s="143"/>
      <c r="G91" s="141"/>
      <c r="H91" s="151" t="s">
        <v>34</v>
      </c>
      <c r="I91" s="149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1" s="149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2)</f>
        <v>2</v>
      </c>
      <c r="K91" s="150">
        <f t="shared" ca="1" si="68"/>
        <v>12.5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52"/>
      <c r="I92" s="119"/>
      <c r="J92" s="119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53" t="s">
        <v>46</v>
      </c>
      <c r="I93" s="125">
        <f t="shared" ref="I93:J93" ca="1" si="70">I109</f>
        <v>390</v>
      </c>
      <c r="J93" s="125">
        <f t="shared" ca="1" si="70"/>
        <v>0</v>
      </c>
      <c r="K93" s="31">
        <f t="shared" ref="K93:K94" ca="1" si="71">IF(I93&gt;0,J93*100/I93,0)</f>
        <v>0</v>
      </c>
      <c r="L93" s="30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53" t="s">
        <v>35</v>
      </c>
      <c r="I94" s="125">
        <f t="shared" ref="I94:J94" ca="1" si="72">I110</f>
        <v>130</v>
      </c>
      <c r="J94" s="125">
        <f t="shared" ca="1" si="72"/>
        <v>0</v>
      </c>
      <c r="K94" s="31">
        <f t="shared" ca="1" si="71"/>
        <v>0</v>
      </c>
      <c r="L94" s="30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37"/>
      <c r="C95" s="127" t="s">
        <v>18</v>
      </c>
      <c r="D95" s="128" t="s">
        <v>19</v>
      </c>
      <c r="E95" s="37"/>
      <c r="F95" s="37"/>
      <c r="G95" s="39"/>
      <c r="H95" s="129" t="s">
        <v>14</v>
      </c>
      <c r="I95" s="41"/>
      <c r="J95" s="41"/>
      <c r="K95" s="42"/>
      <c r="L95" s="130">
        <f t="shared" ref="L95:N95" ca="1" si="73">L96+L97</f>
        <v>136300</v>
      </c>
      <c r="M95" s="130">
        <f t="shared" ca="1" si="73"/>
        <v>217000</v>
      </c>
      <c r="N95" s="130">
        <f t="shared" ca="1" si="73"/>
        <v>48570</v>
      </c>
      <c r="O95" s="130">
        <f t="shared" ref="O95:O103" ca="1" si="74">IF(L95&gt;0,N95*100/L95,0)</f>
        <v>35.634629493763754</v>
      </c>
      <c r="P95" s="130">
        <f t="shared" ref="P95:P103" ca="1" si="75">IF(M95&gt;0,N95*100/M95,0)</f>
        <v>22.382488479262673</v>
      </c>
      <c r="Q95" s="130">
        <f t="shared" ref="Q95:S95" ca="1" si="76">Q96+Q97</f>
        <v>942780</v>
      </c>
      <c r="R95" s="130">
        <f t="shared" ca="1" si="76"/>
        <v>942780</v>
      </c>
      <c r="S95" s="130">
        <f t="shared" ca="1" si="76"/>
        <v>50480</v>
      </c>
      <c r="T95" s="130">
        <f t="shared" ref="T95:T103" ca="1" si="77">IF(Q95&gt;0,S95*100/Q95,0)</f>
        <v>5.354377479369524</v>
      </c>
      <c r="U95" s="130">
        <f t="shared" ref="U95:U103" ca="1" si="78">IF(R95&gt;0,S95*100/R95,0)</f>
        <v>5.354377479369524</v>
      </c>
    </row>
    <row r="96" spans="1:21" ht="18.75" x14ac:dyDescent="0.25">
      <c r="A96" s="126"/>
      <c r="B96" s="37"/>
      <c r="C96" s="37"/>
      <c r="D96" s="37"/>
      <c r="E96" s="154" t="s">
        <v>20</v>
      </c>
      <c r="F96" s="37"/>
      <c r="G96" s="39"/>
      <c r="H96" s="155" t="s">
        <v>14</v>
      </c>
      <c r="I96" s="41"/>
      <c r="J96" s="41"/>
      <c r="K96" s="42"/>
      <c r="L96" s="45">
        <f t="shared" ref="L96:N96" ca="1" si="79">L99+L102</f>
        <v>0</v>
      </c>
      <c r="M96" s="45">
        <f t="shared" ca="1" si="79"/>
        <v>0</v>
      </c>
      <c r="N96" s="45">
        <f t="shared" ca="1" si="79"/>
        <v>0</v>
      </c>
      <c r="O96" s="45">
        <f t="shared" ca="1" si="74"/>
        <v>0</v>
      </c>
      <c r="P96" s="45">
        <f t="shared" ca="1" si="75"/>
        <v>0</v>
      </c>
      <c r="Q96" s="45">
        <f t="shared" ref="Q96:S96" ca="1" si="80">Q99+Q102</f>
        <v>0</v>
      </c>
      <c r="R96" s="45">
        <f t="shared" ca="1" si="80"/>
        <v>0</v>
      </c>
      <c r="S96" s="45">
        <f t="shared" ca="1" si="80"/>
        <v>0</v>
      </c>
      <c r="T96" s="45">
        <f t="shared" ca="1" si="77"/>
        <v>0</v>
      </c>
      <c r="U96" s="45">
        <f t="shared" ca="1" si="78"/>
        <v>0</v>
      </c>
    </row>
    <row r="97" spans="1:21" ht="18.75" x14ac:dyDescent="0.25">
      <c r="A97" s="126"/>
      <c r="B97" s="37"/>
      <c r="C97" s="37"/>
      <c r="D97" s="37"/>
      <c r="E97" s="44" t="s">
        <v>21</v>
      </c>
      <c r="F97" s="37"/>
      <c r="G97" s="39"/>
      <c r="H97" s="131" t="s">
        <v>14</v>
      </c>
      <c r="I97" s="41"/>
      <c r="J97" s="41"/>
      <c r="K97" s="42"/>
      <c r="L97" s="43">
        <f t="shared" ref="L97:N97" ca="1" si="81">L100+L103</f>
        <v>136300</v>
      </c>
      <c r="M97" s="43">
        <f t="shared" ca="1" si="81"/>
        <v>217000</v>
      </c>
      <c r="N97" s="43">
        <f t="shared" ca="1" si="81"/>
        <v>48570</v>
      </c>
      <c r="O97" s="43">
        <f t="shared" ca="1" si="74"/>
        <v>35.634629493763754</v>
      </c>
      <c r="P97" s="43">
        <f t="shared" ca="1" si="75"/>
        <v>22.382488479262673</v>
      </c>
      <c r="Q97" s="43">
        <f t="shared" ref="Q97:S97" ca="1" si="82">Q100+Q103</f>
        <v>942780</v>
      </c>
      <c r="R97" s="43">
        <f t="shared" ca="1" si="82"/>
        <v>942780</v>
      </c>
      <c r="S97" s="43">
        <f t="shared" ca="1" si="82"/>
        <v>50480</v>
      </c>
      <c r="T97" s="43">
        <f t="shared" ca="1" si="77"/>
        <v>5.354377479369524</v>
      </c>
      <c r="U97" s="43">
        <f t="shared" ca="1" si="78"/>
        <v>5.354377479369524</v>
      </c>
    </row>
    <row r="98" spans="1:21" ht="18.75" x14ac:dyDescent="0.25">
      <c r="A98" s="126"/>
      <c r="B98" s="156"/>
      <c r="C98" s="37"/>
      <c r="D98" s="38" t="s">
        <v>22</v>
      </c>
      <c r="E98" s="37"/>
      <c r="F98" s="37"/>
      <c r="G98" s="39"/>
      <c r="H98" s="132" t="s">
        <v>14</v>
      </c>
      <c r="I98" s="133"/>
      <c r="J98" s="133"/>
      <c r="K98" s="134"/>
      <c r="L98" s="43">
        <f t="shared" ref="L98:N98" ca="1" si="83">L99+L100</f>
        <v>136300</v>
      </c>
      <c r="M98" s="43">
        <f t="shared" ca="1" si="83"/>
        <v>217000</v>
      </c>
      <c r="N98" s="43">
        <f t="shared" ca="1" si="83"/>
        <v>48570</v>
      </c>
      <c r="O98" s="43">
        <f t="shared" ca="1" si="74"/>
        <v>35.634629493763754</v>
      </c>
      <c r="P98" s="43">
        <f t="shared" ca="1" si="75"/>
        <v>22.382488479262673</v>
      </c>
      <c r="Q98" s="43">
        <f t="shared" ref="Q98:S98" ca="1" si="84">Q99+Q100</f>
        <v>942780</v>
      </c>
      <c r="R98" s="43">
        <f t="shared" ca="1" si="84"/>
        <v>942780</v>
      </c>
      <c r="S98" s="43">
        <f t="shared" ca="1" si="84"/>
        <v>50480</v>
      </c>
      <c r="T98" s="43">
        <f t="shared" ca="1" si="77"/>
        <v>5.354377479369524</v>
      </c>
      <c r="U98" s="43">
        <f t="shared" ca="1" si="78"/>
        <v>5.354377479369524</v>
      </c>
    </row>
    <row r="99" spans="1:21" ht="18.75" x14ac:dyDescent="0.25">
      <c r="A99" s="126"/>
      <c r="B99" s="156"/>
      <c r="C99" s="156"/>
      <c r="D99" s="37"/>
      <c r="E99" s="154" t="s">
        <v>36</v>
      </c>
      <c r="F99" s="37"/>
      <c r="G99" s="39"/>
      <c r="H99" s="157" t="s">
        <v>14</v>
      </c>
      <c r="I99" s="133"/>
      <c r="J99" s="133"/>
      <c r="K99" s="134"/>
      <c r="L99" s="45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9" s="45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9" s="45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9" s="45">
        <f t="shared" ca="1" si="74"/>
        <v>0</v>
      </c>
      <c r="P99" s="45">
        <f t="shared" ca="1" si="75"/>
        <v>0</v>
      </c>
      <c r="Q99" s="45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9" s="45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9" s="45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9" s="45">
        <f t="shared" ca="1" si="77"/>
        <v>0</v>
      </c>
      <c r="U99" s="45">
        <f t="shared" ca="1" si="78"/>
        <v>0</v>
      </c>
    </row>
    <row r="100" spans="1:21" ht="18.75" x14ac:dyDescent="0.25">
      <c r="A100" s="126"/>
      <c r="B100" s="156"/>
      <c r="C100" s="156"/>
      <c r="D100" s="37"/>
      <c r="E100" s="44" t="s">
        <v>37</v>
      </c>
      <c r="F100" s="37"/>
      <c r="G100" s="39"/>
      <c r="H100" s="132" t="s">
        <v>14</v>
      </c>
      <c r="I100" s="133"/>
      <c r="J100" s="133"/>
      <c r="K100" s="134"/>
      <c r="L100" s="43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136300)</f>
        <v>136300</v>
      </c>
      <c r="M100" s="43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217000)</f>
        <v>217000</v>
      </c>
      <c r="N100" s="43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48570)</f>
        <v>48570</v>
      </c>
      <c r="O100" s="43">
        <f t="shared" ca="1" si="74"/>
        <v>35.634629493763754</v>
      </c>
      <c r="P100" s="43">
        <f t="shared" ca="1" si="75"/>
        <v>22.382488479262673</v>
      </c>
      <c r="Q100" s="43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100" s="43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100" s="43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50480)</f>
        <v>50480</v>
      </c>
      <c r="T100" s="43">
        <f t="shared" ca="1" si="77"/>
        <v>5.354377479369524</v>
      </c>
      <c r="U100" s="43">
        <f t="shared" ca="1" si="78"/>
        <v>5.354377479369524</v>
      </c>
    </row>
    <row r="101" spans="1:21" ht="18.75" x14ac:dyDescent="0.25">
      <c r="A101" s="126"/>
      <c r="B101" s="156"/>
      <c r="C101" s="156"/>
      <c r="D101" s="158" t="s">
        <v>23</v>
      </c>
      <c r="E101" s="37"/>
      <c r="F101" s="37"/>
      <c r="G101" s="39"/>
      <c r="H101" s="135" t="s">
        <v>14</v>
      </c>
      <c r="I101" s="133"/>
      <c r="J101" s="133"/>
      <c r="K101" s="134"/>
      <c r="L101" s="43">
        <f t="shared" ref="L101:N101" ca="1" si="85">L102+L103</f>
        <v>0</v>
      </c>
      <c r="M101" s="43">
        <f t="shared" ca="1" si="85"/>
        <v>0</v>
      </c>
      <c r="N101" s="43">
        <f t="shared" ca="1" si="85"/>
        <v>0</v>
      </c>
      <c r="O101" s="43">
        <f t="shared" ca="1" si="74"/>
        <v>0</v>
      </c>
      <c r="P101" s="43">
        <f t="shared" ca="1" si="75"/>
        <v>0</v>
      </c>
      <c r="Q101" s="43">
        <f t="shared" ref="Q101:S101" ca="1" si="86">Q102+Q103</f>
        <v>0</v>
      </c>
      <c r="R101" s="43">
        <f t="shared" ca="1" si="86"/>
        <v>0</v>
      </c>
      <c r="S101" s="43">
        <f t="shared" ca="1" si="86"/>
        <v>0</v>
      </c>
      <c r="T101" s="43">
        <f t="shared" ca="1" si="77"/>
        <v>0</v>
      </c>
      <c r="U101" s="43">
        <f t="shared" ca="1" si="78"/>
        <v>0</v>
      </c>
    </row>
    <row r="102" spans="1:21" ht="18.75" x14ac:dyDescent="0.25">
      <c r="A102" s="126"/>
      <c r="B102" s="156"/>
      <c r="C102" s="156"/>
      <c r="D102" s="37"/>
      <c r="E102" s="154" t="s">
        <v>20</v>
      </c>
      <c r="F102" s="37"/>
      <c r="G102" s="39"/>
      <c r="H102" s="157" t="s">
        <v>14</v>
      </c>
      <c r="I102" s="133"/>
      <c r="J102" s="133"/>
      <c r="K102" s="134"/>
      <c r="L102" s="45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2" s="45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2" s="45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2" s="45">
        <f t="shared" ca="1" si="74"/>
        <v>0</v>
      </c>
      <c r="P102" s="45">
        <f t="shared" ca="1" si="75"/>
        <v>0</v>
      </c>
      <c r="Q102" s="45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2" s="45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2" s="45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2" s="45">
        <f t="shared" ca="1" si="77"/>
        <v>0</v>
      </c>
      <c r="U102" s="45">
        <f t="shared" ca="1" si="78"/>
        <v>0</v>
      </c>
    </row>
    <row r="103" spans="1:21" ht="18.75" x14ac:dyDescent="0.25">
      <c r="A103" s="126"/>
      <c r="B103" s="156"/>
      <c r="C103" s="156"/>
      <c r="D103" s="37"/>
      <c r="E103" s="44" t="s">
        <v>21</v>
      </c>
      <c r="F103" s="37"/>
      <c r="G103" s="39"/>
      <c r="H103" s="135" t="s">
        <v>14</v>
      </c>
      <c r="I103" s="133"/>
      <c r="J103" s="133"/>
      <c r="K103" s="134"/>
      <c r="L103" s="43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3" s="43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3" s="43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3" s="43">
        <f t="shared" ca="1" si="74"/>
        <v>0</v>
      </c>
      <c r="P103" s="43">
        <f t="shared" ca="1" si="75"/>
        <v>0</v>
      </c>
      <c r="Q103" s="43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3" s="43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3" s="43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3" s="43">
        <f t="shared" ca="1" si="77"/>
        <v>0</v>
      </c>
      <c r="U103" s="43">
        <f t="shared" ca="1" si="78"/>
        <v>0</v>
      </c>
    </row>
    <row r="104" spans="1:21" ht="19.5" x14ac:dyDescent="0.3">
      <c r="A104" s="136"/>
      <c r="B104" s="137"/>
      <c r="C104" s="159" t="s">
        <v>18</v>
      </c>
      <c r="D104" s="138" t="s">
        <v>38</v>
      </c>
      <c r="E104" s="139"/>
      <c r="F104" s="139"/>
      <c r="G104" s="140"/>
      <c r="H104" s="141"/>
      <c r="I104" s="133"/>
      <c r="J104" s="41"/>
      <c r="K104" s="42"/>
      <c r="L104" s="42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x14ac:dyDescent="0.3">
      <c r="A108" s="136"/>
      <c r="B108" s="137"/>
      <c r="C108" s="137"/>
      <c r="D108" s="162" t="s">
        <v>47</v>
      </c>
      <c r="E108" s="163"/>
      <c r="F108" s="143"/>
      <c r="G108" s="141"/>
      <c r="H108" s="39"/>
      <c r="I108" s="41"/>
      <c r="J108" s="41"/>
      <c r="K108" s="42"/>
      <c r="L108" s="42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43"/>
      <c r="F109" s="143"/>
      <c r="G109" s="141"/>
      <c r="H109" s="40" t="s">
        <v>46</v>
      </c>
      <c r="I109" s="165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9" s="166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0)</f>
        <v>0</v>
      </c>
      <c r="K109" s="43">
        <f t="shared" ref="K109:K110" ca="1" si="87">IF(I109&gt;0,J109*100/I109,0)</f>
        <v>0</v>
      </c>
      <c r="L109" s="42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47" t="s">
        <v>49</v>
      </c>
      <c r="E110" s="167"/>
      <c r="F110" s="143"/>
      <c r="G110" s="141"/>
      <c r="H110" s="40" t="s">
        <v>35</v>
      </c>
      <c r="I110" s="165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10" s="166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0)</f>
        <v>0</v>
      </c>
      <c r="K110" s="43">
        <f t="shared" ca="1" si="87"/>
        <v>0</v>
      </c>
      <c r="L110" s="42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61"/>
      <c r="E113" s="15"/>
      <c r="F113" s="15"/>
      <c r="G113" s="16"/>
      <c r="H113" s="16"/>
      <c r="I113" s="17"/>
      <c r="J113" s="17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136"/>
      <c r="B114" s="137"/>
      <c r="C114" s="137"/>
      <c r="D114" s="164" t="s">
        <v>50</v>
      </c>
      <c r="E114" s="143"/>
      <c r="F114" s="143"/>
      <c r="G114" s="141"/>
      <c r="H114" s="168" t="s">
        <v>46</v>
      </c>
      <c r="I114" s="149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0)</f>
        <v>0</v>
      </c>
      <c r="J114" s="166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0)</f>
        <v>0</v>
      </c>
      <c r="K114" s="43">
        <f t="shared" ref="K114:K115" ca="1" si="88">IF(I114&gt;0,J114*100/I114,0)</f>
        <v>0</v>
      </c>
      <c r="L114" s="42"/>
      <c r="M114" s="42"/>
      <c r="N114" s="42"/>
      <c r="O114" s="134"/>
      <c r="P114" s="134"/>
      <c r="Q114" s="42"/>
      <c r="R114" s="42"/>
      <c r="S114" s="42"/>
      <c r="T114" s="134"/>
      <c r="U114" s="134"/>
    </row>
    <row r="115" spans="1:21" ht="18.75" x14ac:dyDescent="0.25">
      <c r="A115" s="136"/>
      <c r="B115" s="137"/>
      <c r="C115" s="137"/>
      <c r="D115" s="164"/>
      <c r="E115" s="143"/>
      <c r="F115" s="143"/>
      <c r="G115" s="141"/>
      <c r="H115" s="148" t="s">
        <v>35</v>
      </c>
      <c r="I115" s="149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5" s="166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0)</f>
        <v>0</v>
      </c>
      <c r="K115" s="43">
        <f t="shared" ca="1" si="88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115" t="s">
        <v>51</v>
      </c>
      <c r="B116" s="117"/>
      <c r="C116" s="169"/>
      <c r="D116" s="116"/>
      <c r="E116" s="116"/>
      <c r="F116" s="116"/>
      <c r="G116" s="116"/>
      <c r="H116" s="117"/>
      <c r="I116" s="170"/>
      <c r="J116" s="170"/>
      <c r="K116" s="171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125">
        <f t="shared" ref="I117:J117" ca="1" si="89">I128</f>
        <v>735</v>
      </c>
      <c r="J117" s="125">
        <f t="shared" ca="1" si="89"/>
        <v>40</v>
      </c>
      <c r="K117" s="31">
        <f ca="1">IF(I117&gt;0,J117*100/I117,0)</f>
        <v>5.4421768707482991</v>
      </c>
      <c r="L117" s="30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159" t="s">
        <v>18</v>
      </c>
      <c r="D118" s="128" t="s">
        <v>19</v>
      </c>
      <c r="E118" s="37"/>
      <c r="F118" s="37"/>
      <c r="G118" s="39"/>
      <c r="H118" s="129" t="s">
        <v>14</v>
      </c>
      <c r="I118" s="41"/>
      <c r="J118" s="41"/>
      <c r="K118" s="42"/>
      <c r="L118" s="130">
        <f t="shared" ref="L118:N118" ca="1" si="90">L119+L120</f>
        <v>0</v>
      </c>
      <c r="M118" s="130">
        <f t="shared" ca="1" si="90"/>
        <v>0</v>
      </c>
      <c r="N118" s="130">
        <f t="shared" ca="1" si="90"/>
        <v>0</v>
      </c>
      <c r="O118" s="130">
        <f t="shared" ref="O118:O126" ca="1" si="91">IF(L118&gt;0,N118*100/L118,0)</f>
        <v>0</v>
      </c>
      <c r="P118" s="130">
        <f t="shared" ref="P118:P126" ca="1" si="92">IF(M118&gt;0,N118*100/M118,0)</f>
        <v>0</v>
      </c>
      <c r="Q118" s="130">
        <f t="shared" ref="Q118:S118" ca="1" si="93">Q119+Q120</f>
        <v>6899960</v>
      </c>
      <c r="R118" s="130">
        <f t="shared" ca="1" si="93"/>
        <v>6899960</v>
      </c>
      <c r="S118" s="130">
        <f t="shared" ca="1" si="93"/>
        <v>161744.14000000001</v>
      </c>
      <c r="T118" s="130">
        <f t="shared" ref="T118:T126" ca="1" si="94">IF(Q118&gt;0,S118*100/Q118,0)</f>
        <v>2.3441315601829578</v>
      </c>
      <c r="U118" s="130">
        <f t="shared" ref="U118:U126" ca="1" si="95">IF(R118&gt;0,S118*100/R118,0)</f>
        <v>2.3441315601829578</v>
      </c>
    </row>
    <row r="119" spans="1:21" ht="18.75" x14ac:dyDescent="0.25">
      <c r="A119" s="126"/>
      <c r="B119" s="156"/>
      <c r="C119" s="156"/>
      <c r="D119" s="156"/>
      <c r="E119" s="154" t="s">
        <v>20</v>
      </c>
      <c r="F119" s="37"/>
      <c r="G119" s="39"/>
      <c r="H119" s="155" t="s">
        <v>14</v>
      </c>
      <c r="I119" s="41"/>
      <c r="J119" s="41"/>
      <c r="K119" s="42"/>
      <c r="L119" s="45">
        <f t="shared" ref="L119:N119" ca="1" si="96">L122+L125</f>
        <v>0</v>
      </c>
      <c r="M119" s="45">
        <f t="shared" ca="1" si="96"/>
        <v>0</v>
      </c>
      <c r="N119" s="45">
        <f t="shared" ca="1" si="96"/>
        <v>0</v>
      </c>
      <c r="O119" s="45">
        <f t="shared" ca="1" si="91"/>
        <v>0</v>
      </c>
      <c r="P119" s="45">
        <f t="shared" ca="1" si="92"/>
        <v>0</v>
      </c>
      <c r="Q119" s="45">
        <f t="shared" ref="Q119:S119" ca="1" si="97">Q122+Q125</f>
        <v>0</v>
      </c>
      <c r="R119" s="45">
        <f t="shared" ca="1" si="97"/>
        <v>0</v>
      </c>
      <c r="S119" s="45">
        <f t="shared" ca="1" si="97"/>
        <v>0</v>
      </c>
      <c r="T119" s="45">
        <f t="shared" ca="1" si="94"/>
        <v>0</v>
      </c>
      <c r="U119" s="45">
        <f t="shared" ca="1" si="95"/>
        <v>0</v>
      </c>
    </row>
    <row r="120" spans="1:21" ht="18.75" x14ac:dyDescent="0.25">
      <c r="A120" s="126"/>
      <c r="B120" s="156"/>
      <c r="C120" s="156"/>
      <c r="D120" s="156"/>
      <c r="E120" s="44" t="s">
        <v>21</v>
      </c>
      <c r="F120" s="37"/>
      <c r="G120" s="39"/>
      <c r="H120" s="131" t="s">
        <v>14</v>
      </c>
      <c r="I120" s="41"/>
      <c r="J120" s="41"/>
      <c r="K120" s="42"/>
      <c r="L120" s="43">
        <f t="shared" ref="L120:N120" ca="1" si="98">L123+L126</f>
        <v>0</v>
      </c>
      <c r="M120" s="43">
        <f t="shared" ca="1" si="98"/>
        <v>0</v>
      </c>
      <c r="N120" s="43">
        <f t="shared" ca="1" si="98"/>
        <v>0</v>
      </c>
      <c r="O120" s="43">
        <f t="shared" ca="1" si="91"/>
        <v>0</v>
      </c>
      <c r="P120" s="43">
        <f t="shared" ca="1" si="92"/>
        <v>0</v>
      </c>
      <c r="Q120" s="43">
        <f t="shared" ref="Q120:S120" ca="1" si="99">Q123+Q126</f>
        <v>6899960</v>
      </c>
      <c r="R120" s="43">
        <f t="shared" ca="1" si="99"/>
        <v>6899960</v>
      </c>
      <c r="S120" s="43">
        <f t="shared" ca="1" si="99"/>
        <v>161744.14000000001</v>
      </c>
      <c r="T120" s="43">
        <f t="shared" ca="1" si="94"/>
        <v>2.3441315601829578</v>
      </c>
      <c r="U120" s="43">
        <f t="shared" ca="1" si="95"/>
        <v>2.3441315601829578</v>
      </c>
    </row>
    <row r="121" spans="1:21" ht="18.75" x14ac:dyDescent="0.25">
      <c r="A121" s="126"/>
      <c r="B121" s="156"/>
      <c r="C121" s="175"/>
      <c r="D121" s="158" t="s">
        <v>22</v>
      </c>
      <c r="E121" s="37"/>
      <c r="F121" s="37"/>
      <c r="G121" s="39"/>
      <c r="H121" s="176" t="s">
        <v>14</v>
      </c>
      <c r="I121" s="41"/>
      <c r="J121" s="41"/>
      <c r="K121" s="42"/>
      <c r="L121" s="43">
        <f t="shared" ref="L121:N121" ca="1" si="100">L122+L123</f>
        <v>0</v>
      </c>
      <c r="M121" s="43">
        <f t="shared" ca="1" si="100"/>
        <v>0</v>
      </c>
      <c r="N121" s="43">
        <f t="shared" ca="1" si="100"/>
        <v>0</v>
      </c>
      <c r="O121" s="43">
        <f t="shared" ca="1" si="91"/>
        <v>0</v>
      </c>
      <c r="P121" s="43">
        <f t="shared" ca="1" si="92"/>
        <v>0</v>
      </c>
      <c r="Q121" s="43">
        <f t="shared" ref="Q121:S121" ca="1" si="101">Q122+Q123</f>
        <v>6899960</v>
      </c>
      <c r="R121" s="43">
        <f t="shared" ca="1" si="101"/>
        <v>6899960</v>
      </c>
      <c r="S121" s="43">
        <f t="shared" ca="1" si="101"/>
        <v>161744.14000000001</v>
      </c>
      <c r="T121" s="43">
        <f t="shared" ca="1" si="94"/>
        <v>2.3441315601829578</v>
      </c>
      <c r="U121" s="43">
        <f t="shared" ca="1" si="95"/>
        <v>2.3441315601829578</v>
      </c>
    </row>
    <row r="122" spans="1:21" ht="18.75" x14ac:dyDescent="0.25">
      <c r="A122" s="126"/>
      <c r="B122" s="156"/>
      <c r="C122" s="175"/>
      <c r="D122" s="156"/>
      <c r="E122" s="154" t="s">
        <v>36</v>
      </c>
      <c r="F122" s="37"/>
      <c r="G122" s="39"/>
      <c r="H122" s="177" t="s">
        <v>14</v>
      </c>
      <c r="I122" s="41"/>
      <c r="J122" s="41"/>
      <c r="K122" s="42"/>
      <c r="L122" s="45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2" s="45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2" s="45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2" s="45">
        <f t="shared" ca="1" si="91"/>
        <v>0</v>
      </c>
      <c r="P122" s="45">
        <f t="shared" ca="1" si="92"/>
        <v>0</v>
      </c>
      <c r="Q122" s="45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2" s="45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2" s="45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2" s="45">
        <f t="shared" ca="1" si="94"/>
        <v>0</v>
      </c>
      <c r="U122" s="45">
        <f t="shared" ca="1" si="95"/>
        <v>0</v>
      </c>
    </row>
    <row r="123" spans="1:21" ht="18.75" x14ac:dyDescent="0.25">
      <c r="A123" s="126"/>
      <c r="B123" s="156"/>
      <c r="C123" s="175"/>
      <c r="D123" s="156"/>
      <c r="E123" s="44" t="s">
        <v>37</v>
      </c>
      <c r="F123" s="37"/>
      <c r="G123" s="39"/>
      <c r="H123" s="176" t="s">
        <v>14</v>
      </c>
      <c r="I123" s="41"/>
      <c r="J123" s="41"/>
      <c r="K123" s="42"/>
      <c r="L123" s="43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3" s="43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3" s="43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3" s="43">
        <f t="shared" ca="1" si="91"/>
        <v>0</v>
      </c>
      <c r="P123" s="43">
        <f t="shared" ca="1" si="92"/>
        <v>0</v>
      </c>
      <c r="Q123" s="43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6899960)</f>
        <v>6899960</v>
      </c>
      <c r="R123" s="43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6899960)</f>
        <v>6899960</v>
      </c>
      <c r="S123" s="43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161744.14)</f>
        <v>161744.14000000001</v>
      </c>
      <c r="T123" s="43">
        <f t="shared" ca="1" si="94"/>
        <v>2.3441315601829578</v>
      </c>
      <c r="U123" s="43">
        <f t="shared" ca="1" si="95"/>
        <v>2.3441315601829578</v>
      </c>
    </row>
    <row r="124" spans="1:21" ht="18.75" x14ac:dyDescent="0.25">
      <c r="A124" s="126"/>
      <c r="B124" s="37"/>
      <c r="C124" s="175"/>
      <c r="D124" s="158" t="s">
        <v>23</v>
      </c>
      <c r="E124" s="37"/>
      <c r="F124" s="37"/>
      <c r="G124" s="39"/>
      <c r="H124" s="131" t="s">
        <v>14</v>
      </c>
      <c r="I124" s="41"/>
      <c r="J124" s="41"/>
      <c r="K124" s="42"/>
      <c r="L124" s="43">
        <f t="shared" ref="L124:N124" ca="1" si="102">L125+L126</f>
        <v>0</v>
      </c>
      <c r="M124" s="43">
        <f t="shared" ca="1" si="102"/>
        <v>0</v>
      </c>
      <c r="N124" s="43">
        <f t="shared" ca="1" si="102"/>
        <v>0</v>
      </c>
      <c r="O124" s="43">
        <f t="shared" ca="1" si="91"/>
        <v>0</v>
      </c>
      <c r="P124" s="43">
        <f t="shared" ca="1" si="92"/>
        <v>0</v>
      </c>
      <c r="Q124" s="43">
        <f t="shared" ref="Q124:S124" ca="1" si="103">Q125+Q126</f>
        <v>0</v>
      </c>
      <c r="R124" s="43">
        <f t="shared" ca="1" si="103"/>
        <v>0</v>
      </c>
      <c r="S124" s="43">
        <f t="shared" ca="1" si="103"/>
        <v>0</v>
      </c>
      <c r="T124" s="43">
        <f t="shared" ca="1" si="94"/>
        <v>0</v>
      </c>
      <c r="U124" s="43">
        <f t="shared" ca="1" si="95"/>
        <v>0</v>
      </c>
    </row>
    <row r="125" spans="1:21" ht="18.75" x14ac:dyDescent="0.25">
      <c r="A125" s="126"/>
      <c r="B125" s="37"/>
      <c r="C125" s="175"/>
      <c r="D125" s="156"/>
      <c r="E125" s="154" t="s">
        <v>20</v>
      </c>
      <c r="F125" s="37"/>
      <c r="G125" s="39"/>
      <c r="H125" s="177" t="s">
        <v>14</v>
      </c>
      <c r="I125" s="41"/>
      <c r="J125" s="41"/>
      <c r="K125" s="42"/>
      <c r="L125" s="45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5" s="45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5" s="45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5" s="45">
        <f t="shared" ca="1" si="91"/>
        <v>0</v>
      </c>
      <c r="P125" s="45">
        <f t="shared" ca="1" si="92"/>
        <v>0</v>
      </c>
      <c r="Q125" s="45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5" s="45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5" s="45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5" s="45">
        <f t="shared" ca="1" si="94"/>
        <v>0</v>
      </c>
      <c r="U125" s="45">
        <f t="shared" ca="1" si="95"/>
        <v>0</v>
      </c>
    </row>
    <row r="126" spans="1:21" ht="18.75" x14ac:dyDescent="0.25">
      <c r="A126" s="126"/>
      <c r="B126" s="37"/>
      <c r="C126" s="37"/>
      <c r="D126" s="37"/>
      <c r="E126" s="44" t="s">
        <v>21</v>
      </c>
      <c r="F126" s="37"/>
      <c r="G126" s="39"/>
      <c r="H126" s="131" t="s">
        <v>14</v>
      </c>
      <c r="I126" s="41"/>
      <c r="J126" s="41"/>
      <c r="K126" s="42"/>
      <c r="L126" s="43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6" s="43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6" s="43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6" s="43">
        <f t="shared" ca="1" si="91"/>
        <v>0</v>
      </c>
      <c r="P126" s="43">
        <f t="shared" ca="1" si="92"/>
        <v>0</v>
      </c>
      <c r="Q126" s="43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0)</f>
        <v>0</v>
      </c>
      <c r="R126" s="43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0)</f>
        <v>0</v>
      </c>
      <c r="S126" s="43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6" s="43">
        <f t="shared" ca="1" si="94"/>
        <v>0</v>
      </c>
      <c r="U126" s="43">
        <f t="shared" ca="1" si="95"/>
        <v>0</v>
      </c>
    </row>
    <row r="127" spans="1:21" ht="19.5" x14ac:dyDescent="0.3">
      <c r="A127" s="136"/>
      <c r="B127" s="137"/>
      <c r="C127" s="178" t="s">
        <v>18</v>
      </c>
      <c r="D127" s="138" t="s">
        <v>38</v>
      </c>
      <c r="E127" s="139"/>
      <c r="F127" s="139"/>
      <c r="G127" s="140"/>
      <c r="H127" s="179"/>
      <c r="I127" s="41"/>
      <c r="J127" s="41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43"/>
      <c r="F128" s="143"/>
      <c r="G128" s="141"/>
      <c r="H128" s="131" t="s">
        <v>35</v>
      </c>
      <c r="I128" s="165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8" s="166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40)</f>
        <v>40</v>
      </c>
      <c r="K128" s="43">
        <f t="shared" ref="K128:K131" ca="1" si="104">IF(I128&gt;0,J128*100/I128,0)</f>
        <v>5.4421768707482991</v>
      </c>
      <c r="L128" s="42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43"/>
      <c r="E129" s="143"/>
      <c r="F129" s="143"/>
      <c r="G129" s="141"/>
      <c r="H129" s="131" t="s">
        <v>54</v>
      </c>
      <c r="I129" s="165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0)</f>
        <v>0</v>
      </c>
      <c r="J129" s="166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2)</f>
        <v>2</v>
      </c>
      <c r="K129" s="43">
        <f t="shared" ca="1" si="104"/>
        <v>0</v>
      </c>
      <c r="L129" s="42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43"/>
      <c r="F130" s="143"/>
      <c r="G130" s="141"/>
      <c r="H130" s="131" t="s">
        <v>35</v>
      </c>
      <c r="I130" s="165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30" s="166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20)</f>
        <v>20</v>
      </c>
      <c r="K130" s="43">
        <f t="shared" ca="1" si="104"/>
        <v>5.4794520547945202</v>
      </c>
      <c r="L130" s="42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43"/>
      <c r="E131" s="143"/>
      <c r="F131" s="143"/>
      <c r="G131" s="141"/>
      <c r="H131" s="131" t="s">
        <v>54</v>
      </c>
      <c r="I131" s="165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0)</f>
        <v>0</v>
      </c>
      <c r="J131" s="166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0)</f>
        <v>0</v>
      </c>
      <c r="K131" s="43">
        <f t="shared" ca="1" si="104"/>
        <v>0</v>
      </c>
      <c r="L131" s="42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43"/>
      <c r="F132" s="143"/>
      <c r="G132" s="141"/>
      <c r="H132" s="155" t="s">
        <v>35</v>
      </c>
      <c r="I132" s="41"/>
      <c r="J132" s="41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43"/>
      <c r="F133" s="143"/>
      <c r="G133" s="141"/>
      <c r="H133" s="181"/>
      <c r="I133" s="41"/>
      <c r="J133" s="41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24" t="s">
        <v>61</v>
      </c>
      <c r="I137" s="125">
        <f t="shared" ref="I137:J137" ca="1" si="105">I155</f>
        <v>15</v>
      </c>
      <c r="J137" s="125">
        <f t="shared" ca="1" si="105"/>
        <v>0</v>
      </c>
      <c r="K137" s="31">
        <f t="shared" ref="K137:K139" ca="1" si="106">IF(I137&gt;0,J137*100/I137,0)</f>
        <v>0</v>
      </c>
      <c r="L137" s="30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24" t="s">
        <v>35</v>
      </c>
      <c r="I138" s="125">
        <f t="shared" ref="I138:J138" ca="1" si="107">I153</f>
        <v>400</v>
      </c>
      <c r="J138" s="125">
        <f t="shared" ca="1" si="107"/>
        <v>10</v>
      </c>
      <c r="K138" s="31">
        <f t="shared" ca="1" si="106"/>
        <v>2.5</v>
      </c>
      <c r="L138" s="30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125">
        <f t="shared" ref="I139:J139" ca="1" si="108">I154</f>
        <v>40</v>
      </c>
      <c r="J139" s="125">
        <f t="shared" ca="1" si="108"/>
        <v>1</v>
      </c>
      <c r="K139" s="31">
        <f t="shared" ca="1" si="106"/>
        <v>2.5</v>
      </c>
      <c r="L139" s="30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37"/>
      <c r="C140" s="127" t="s">
        <v>18</v>
      </c>
      <c r="D140" s="128" t="s">
        <v>19</v>
      </c>
      <c r="E140" s="37"/>
      <c r="F140" s="37"/>
      <c r="G140" s="39"/>
      <c r="H140" s="129" t="s">
        <v>14</v>
      </c>
      <c r="I140" s="41"/>
      <c r="J140" s="41"/>
      <c r="K140" s="42"/>
      <c r="L140" s="130">
        <f t="shared" ref="L140:N140" ca="1" si="109">L141+L142</f>
        <v>1202200</v>
      </c>
      <c r="M140" s="130">
        <f t="shared" ca="1" si="109"/>
        <v>1147200</v>
      </c>
      <c r="N140" s="130">
        <f t="shared" ca="1" si="109"/>
        <v>373448.53</v>
      </c>
      <c r="O140" s="130">
        <f t="shared" ref="O140:O148" ca="1" si="110">IF(L140&gt;0,N140*100/L140,0)</f>
        <v>31.063760605556478</v>
      </c>
      <c r="P140" s="130">
        <f t="shared" ref="P140:P148" ca="1" si="111">IF(M140&gt;0,N140*100/M140,0)</f>
        <v>32.55304480474198</v>
      </c>
      <c r="Q140" s="130">
        <f t="shared" ref="Q140:S140" ca="1" si="112">Q141+Q142</f>
        <v>0</v>
      </c>
      <c r="R140" s="130">
        <f t="shared" ca="1" si="112"/>
        <v>0</v>
      </c>
      <c r="S140" s="130">
        <f t="shared" ca="1" si="112"/>
        <v>0</v>
      </c>
      <c r="T140" s="130">
        <f t="shared" ref="T140:T148" ca="1" si="113">IF(Q140&gt;0,S140*100/Q140,0)</f>
        <v>0</v>
      </c>
      <c r="U140" s="130">
        <f t="shared" ref="U140:U148" ca="1" si="114">IF(R140&gt;0,S140*100/R140,0)</f>
        <v>0</v>
      </c>
    </row>
    <row r="141" spans="1:21" ht="18.75" x14ac:dyDescent="0.25">
      <c r="A141" s="126"/>
      <c r="B141" s="37"/>
      <c r="C141" s="37"/>
      <c r="D141" s="37"/>
      <c r="E141" s="44" t="s">
        <v>20</v>
      </c>
      <c r="F141" s="37"/>
      <c r="G141" s="39"/>
      <c r="H141" s="131" t="s">
        <v>14</v>
      </c>
      <c r="I141" s="41"/>
      <c r="J141" s="41"/>
      <c r="K141" s="42"/>
      <c r="L141" s="43">
        <f t="shared" ref="L141:N141" ca="1" si="115">L144+L147</f>
        <v>0</v>
      </c>
      <c r="M141" s="43">
        <f t="shared" ca="1" si="115"/>
        <v>0</v>
      </c>
      <c r="N141" s="43">
        <f t="shared" ca="1" si="115"/>
        <v>0</v>
      </c>
      <c r="O141" s="43">
        <f t="shared" ca="1" si="110"/>
        <v>0</v>
      </c>
      <c r="P141" s="43">
        <f t="shared" ca="1" si="111"/>
        <v>0</v>
      </c>
      <c r="Q141" s="45">
        <f t="shared" ref="Q141:S141" ca="1" si="116">Q144+Q147</f>
        <v>0</v>
      </c>
      <c r="R141" s="45">
        <f t="shared" ca="1" si="116"/>
        <v>0</v>
      </c>
      <c r="S141" s="45">
        <f t="shared" ca="1" si="116"/>
        <v>0</v>
      </c>
      <c r="T141" s="45">
        <f t="shared" ca="1" si="113"/>
        <v>0</v>
      </c>
      <c r="U141" s="45">
        <f t="shared" ca="1" si="114"/>
        <v>0</v>
      </c>
    </row>
    <row r="142" spans="1:21" ht="18.75" x14ac:dyDescent="0.25">
      <c r="A142" s="126"/>
      <c r="B142" s="37"/>
      <c r="C142" s="37"/>
      <c r="D142" s="37"/>
      <c r="E142" s="44" t="s">
        <v>21</v>
      </c>
      <c r="F142" s="37"/>
      <c r="G142" s="39"/>
      <c r="H142" s="131" t="s">
        <v>14</v>
      </c>
      <c r="I142" s="41"/>
      <c r="J142" s="41"/>
      <c r="K142" s="42"/>
      <c r="L142" s="43">
        <f t="shared" ref="L142:N142" ca="1" si="117">L145+L148</f>
        <v>1202200</v>
      </c>
      <c r="M142" s="43">
        <f t="shared" ca="1" si="117"/>
        <v>1147200</v>
      </c>
      <c r="N142" s="43">
        <f t="shared" ca="1" si="117"/>
        <v>373448.53</v>
      </c>
      <c r="O142" s="43">
        <f t="shared" ca="1" si="110"/>
        <v>31.063760605556478</v>
      </c>
      <c r="P142" s="43">
        <f t="shared" ca="1" si="111"/>
        <v>32.55304480474198</v>
      </c>
      <c r="Q142" s="43">
        <f t="shared" ref="Q142:S142" ca="1" si="118">Q145+Q148</f>
        <v>0</v>
      </c>
      <c r="R142" s="43">
        <f t="shared" ca="1" si="118"/>
        <v>0</v>
      </c>
      <c r="S142" s="43">
        <f t="shared" ca="1" si="118"/>
        <v>0</v>
      </c>
      <c r="T142" s="43">
        <f t="shared" ca="1" si="113"/>
        <v>0</v>
      </c>
      <c r="U142" s="43">
        <f t="shared" ca="1" si="114"/>
        <v>0</v>
      </c>
    </row>
    <row r="143" spans="1:21" ht="18.75" x14ac:dyDescent="0.25">
      <c r="A143" s="126"/>
      <c r="B143" s="37"/>
      <c r="C143" s="37"/>
      <c r="D143" s="38" t="s">
        <v>22</v>
      </c>
      <c r="E143" s="37"/>
      <c r="F143" s="37"/>
      <c r="G143" s="39"/>
      <c r="H143" s="132" t="s">
        <v>14</v>
      </c>
      <c r="I143" s="133"/>
      <c r="J143" s="133"/>
      <c r="K143" s="134"/>
      <c r="L143" s="43">
        <f t="shared" ref="L143:N143" ca="1" si="119">L144+L145</f>
        <v>1202200</v>
      </c>
      <c r="M143" s="43">
        <f t="shared" ca="1" si="119"/>
        <v>1147200</v>
      </c>
      <c r="N143" s="43">
        <f t="shared" ca="1" si="119"/>
        <v>373448.53</v>
      </c>
      <c r="O143" s="43">
        <f t="shared" ca="1" si="110"/>
        <v>31.063760605556478</v>
      </c>
      <c r="P143" s="43">
        <f t="shared" ca="1" si="111"/>
        <v>32.55304480474198</v>
      </c>
      <c r="Q143" s="43">
        <f t="shared" ref="Q143:S143" ca="1" si="120">Q144+Q145</f>
        <v>0</v>
      </c>
      <c r="R143" s="43">
        <f t="shared" ca="1" si="120"/>
        <v>0</v>
      </c>
      <c r="S143" s="43">
        <f t="shared" ca="1" si="120"/>
        <v>0</v>
      </c>
      <c r="T143" s="43">
        <f t="shared" ca="1" si="113"/>
        <v>0</v>
      </c>
      <c r="U143" s="43">
        <f t="shared" ca="1" si="114"/>
        <v>0</v>
      </c>
    </row>
    <row r="144" spans="1:21" ht="18.75" x14ac:dyDescent="0.25">
      <c r="A144" s="126"/>
      <c r="B144" s="37"/>
      <c r="C144" s="37"/>
      <c r="D144" s="37"/>
      <c r="E144" s="44" t="s">
        <v>36</v>
      </c>
      <c r="F144" s="37"/>
      <c r="G144" s="39"/>
      <c r="H144" s="132" t="s">
        <v>14</v>
      </c>
      <c r="I144" s="133"/>
      <c r="J144" s="133"/>
      <c r="K144" s="134"/>
      <c r="L144" s="43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4" s="43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4" s="43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4" s="43">
        <f t="shared" ca="1" si="110"/>
        <v>0</v>
      </c>
      <c r="P144" s="43">
        <f t="shared" ca="1" si="111"/>
        <v>0</v>
      </c>
      <c r="Q144" s="45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4" s="45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4" s="45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4" s="45">
        <f t="shared" ca="1" si="113"/>
        <v>0</v>
      </c>
      <c r="U144" s="45">
        <f t="shared" ca="1" si="114"/>
        <v>0</v>
      </c>
    </row>
    <row r="145" spans="1:21" ht="18.75" x14ac:dyDescent="0.25">
      <c r="A145" s="126"/>
      <c r="B145" s="37"/>
      <c r="C145" s="37"/>
      <c r="D145" s="37"/>
      <c r="E145" s="44" t="s">
        <v>37</v>
      </c>
      <c r="F145" s="37"/>
      <c r="G145" s="39"/>
      <c r="H145" s="132" t="s">
        <v>14</v>
      </c>
      <c r="I145" s="133"/>
      <c r="J145" s="133"/>
      <c r="K145" s="134"/>
      <c r="L145" s="43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5" s="43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5" s="43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373448.53)</f>
        <v>373448.53</v>
      </c>
      <c r="O145" s="43">
        <f t="shared" ca="1" si="110"/>
        <v>31.063760605556478</v>
      </c>
      <c r="P145" s="43">
        <f t="shared" ca="1" si="111"/>
        <v>32.55304480474198</v>
      </c>
      <c r="Q145" s="43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0)</f>
        <v>0</v>
      </c>
      <c r="R145" s="43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0)</f>
        <v>0</v>
      </c>
      <c r="S145" s="43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0)</f>
        <v>0</v>
      </c>
      <c r="T145" s="43">
        <f t="shared" ca="1" si="113"/>
        <v>0</v>
      </c>
      <c r="U145" s="43">
        <f t="shared" ca="1" si="114"/>
        <v>0</v>
      </c>
    </row>
    <row r="146" spans="1:21" ht="18.75" x14ac:dyDescent="0.25">
      <c r="A146" s="126"/>
      <c r="B146" s="37"/>
      <c r="C146" s="37"/>
      <c r="D146" s="38" t="s">
        <v>23</v>
      </c>
      <c r="E146" s="37"/>
      <c r="F146" s="37"/>
      <c r="G146" s="39"/>
      <c r="H146" s="135" t="s">
        <v>14</v>
      </c>
      <c r="I146" s="133"/>
      <c r="J146" s="133"/>
      <c r="K146" s="134"/>
      <c r="L146" s="43">
        <f t="shared" ref="L146:N146" ca="1" si="121">L147+L148</f>
        <v>0</v>
      </c>
      <c r="M146" s="43">
        <f t="shared" ca="1" si="121"/>
        <v>0</v>
      </c>
      <c r="N146" s="43">
        <f t="shared" ca="1" si="121"/>
        <v>0</v>
      </c>
      <c r="O146" s="43">
        <f t="shared" ca="1" si="110"/>
        <v>0</v>
      </c>
      <c r="P146" s="43">
        <f t="shared" ca="1" si="111"/>
        <v>0</v>
      </c>
      <c r="Q146" s="43">
        <f t="shared" ref="Q146:S146" ca="1" si="122">Q147+Q148</f>
        <v>0</v>
      </c>
      <c r="R146" s="43">
        <f t="shared" ca="1" si="122"/>
        <v>0</v>
      </c>
      <c r="S146" s="43">
        <f t="shared" ca="1" si="122"/>
        <v>0</v>
      </c>
      <c r="T146" s="43">
        <f t="shared" ca="1" si="113"/>
        <v>0</v>
      </c>
      <c r="U146" s="43">
        <f t="shared" ca="1" si="114"/>
        <v>0</v>
      </c>
    </row>
    <row r="147" spans="1:21" ht="18.75" x14ac:dyDescent="0.25">
      <c r="A147" s="126"/>
      <c r="B147" s="37"/>
      <c r="C147" s="37"/>
      <c r="D147" s="37"/>
      <c r="E147" s="44" t="s">
        <v>20</v>
      </c>
      <c r="F147" s="37"/>
      <c r="G147" s="39"/>
      <c r="H147" s="132" t="s">
        <v>14</v>
      </c>
      <c r="I147" s="133"/>
      <c r="J147" s="133"/>
      <c r="K147" s="134"/>
      <c r="L147" s="43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7" s="43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7" s="43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7" s="43">
        <f t="shared" ca="1" si="110"/>
        <v>0</v>
      </c>
      <c r="P147" s="43">
        <f t="shared" ca="1" si="111"/>
        <v>0</v>
      </c>
      <c r="Q147" s="45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7" s="45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7" s="45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7" s="45">
        <f t="shared" ca="1" si="113"/>
        <v>0</v>
      </c>
      <c r="U147" s="45">
        <f t="shared" ca="1" si="114"/>
        <v>0</v>
      </c>
    </row>
    <row r="148" spans="1:21" ht="18.75" x14ac:dyDescent="0.25">
      <c r="A148" s="126"/>
      <c r="B148" s="37"/>
      <c r="C148" s="37"/>
      <c r="D148" s="37"/>
      <c r="E148" s="44" t="s">
        <v>21</v>
      </c>
      <c r="F148" s="37"/>
      <c r="G148" s="39"/>
      <c r="H148" s="135" t="s">
        <v>14</v>
      </c>
      <c r="I148" s="133"/>
      <c r="J148" s="133"/>
      <c r="K148" s="134"/>
      <c r="L148" s="43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8" s="43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8" s="43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8" s="43">
        <f t="shared" ca="1" si="110"/>
        <v>0</v>
      </c>
      <c r="P148" s="43">
        <f t="shared" ca="1" si="111"/>
        <v>0</v>
      </c>
      <c r="Q148" s="43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0)</f>
        <v>0</v>
      </c>
      <c r="R148" s="43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0)</f>
        <v>0</v>
      </c>
      <c r="S148" s="43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8" s="43">
        <f t="shared" ca="1" si="113"/>
        <v>0</v>
      </c>
      <c r="U148" s="43">
        <f t="shared" ca="1" si="114"/>
        <v>0</v>
      </c>
    </row>
    <row r="149" spans="1:21" ht="19.5" x14ac:dyDescent="0.3">
      <c r="A149" s="136"/>
      <c r="B149" s="137"/>
      <c r="C149" s="127" t="s">
        <v>18</v>
      </c>
      <c r="D149" s="138" t="s">
        <v>38</v>
      </c>
      <c r="E149" s="139"/>
      <c r="F149" s="139"/>
      <c r="G149" s="140"/>
      <c r="H149" s="179"/>
      <c r="I149" s="41"/>
      <c r="J149" s="41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37"/>
      <c r="C150" s="37"/>
      <c r="D150" s="44" t="s">
        <v>63</v>
      </c>
      <c r="E150" s="37"/>
      <c r="F150" s="37"/>
      <c r="G150" s="39"/>
      <c r="H150" s="179"/>
      <c r="I150" s="41"/>
      <c r="J150" s="165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0)</f>
        <v>0</v>
      </c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37"/>
      <c r="C151" s="37"/>
      <c r="D151" s="143"/>
      <c r="E151" s="186" t="s">
        <v>64</v>
      </c>
      <c r="F151" s="37"/>
      <c r="G151" s="39"/>
      <c r="H151" s="135" t="s">
        <v>35</v>
      </c>
      <c r="I151" s="165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1" s="165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0)</f>
        <v>0</v>
      </c>
      <c r="K151" s="43">
        <f t="shared" ref="K151:K155" ca="1" si="123">IF(I151&gt;0,J151*100/I151,0)</f>
        <v>0</v>
      </c>
      <c r="L151" s="42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37"/>
      <c r="C152" s="37"/>
      <c r="D152" s="143"/>
      <c r="E152" s="37"/>
      <c r="F152" s="37"/>
      <c r="G152" s="39"/>
      <c r="H152" s="135" t="s">
        <v>54</v>
      </c>
      <c r="I152" s="165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2" s="165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0)</f>
        <v>0</v>
      </c>
      <c r="K152" s="43">
        <f t="shared" ca="1" si="123"/>
        <v>0</v>
      </c>
      <c r="L152" s="42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37"/>
      <c r="C153" s="37"/>
      <c r="D153" s="143"/>
      <c r="E153" s="186" t="s">
        <v>65</v>
      </c>
      <c r="F153" s="37"/>
      <c r="G153" s="39"/>
      <c r="H153" s="135" t="s">
        <v>35</v>
      </c>
      <c r="I153" s="165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3" s="165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10)</f>
        <v>10</v>
      </c>
      <c r="K153" s="43">
        <f t="shared" ca="1" si="123"/>
        <v>2.5</v>
      </c>
      <c r="L153" s="42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37"/>
      <c r="C154" s="37"/>
      <c r="D154" s="37"/>
      <c r="E154" s="187"/>
      <c r="F154" s="37"/>
      <c r="G154" s="39"/>
      <c r="H154" s="135" t="s">
        <v>54</v>
      </c>
      <c r="I154" s="165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4" s="165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1)</f>
        <v>1</v>
      </c>
      <c r="K154" s="43">
        <f t="shared" ca="1" si="123"/>
        <v>2.5</v>
      </c>
      <c r="L154" s="42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37"/>
      <c r="C155" s="37"/>
      <c r="D155" s="44" t="s">
        <v>66</v>
      </c>
      <c r="E155" s="37"/>
      <c r="F155" s="37"/>
      <c r="G155" s="39"/>
      <c r="H155" s="135" t="s">
        <v>61</v>
      </c>
      <c r="I155" s="165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5" s="165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5" s="43">
        <f t="shared" ca="1" si="123"/>
        <v>0</v>
      </c>
      <c r="L155" s="42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125">
        <f ca="1">I168</f>
        <v>115</v>
      </c>
      <c r="J157" s="125">
        <f>J169</f>
        <v>0</v>
      </c>
      <c r="K157" s="31">
        <f ca="1">IF(I157&gt;0,J157*100/I157,0)</f>
        <v>0</v>
      </c>
      <c r="L157" s="30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37"/>
      <c r="C158" s="127" t="s">
        <v>18</v>
      </c>
      <c r="D158" s="128" t="s">
        <v>19</v>
      </c>
      <c r="E158" s="37"/>
      <c r="F158" s="37"/>
      <c r="G158" s="39"/>
      <c r="H158" s="129" t="s">
        <v>14</v>
      </c>
      <c r="I158" s="41"/>
      <c r="J158" s="41"/>
      <c r="K158" s="42"/>
      <c r="L158" s="130">
        <f t="shared" ref="L158:N158" ca="1" si="124">L159+L160</f>
        <v>34500</v>
      </c>
      <c r="M158" s="130">
        <f t="shared" ca="1" si="124"/>
        <v>31500</v>
      </c>
      <c r="N158" s="130">
        <f t="shared" ca="1" si="124"/>
        <v>0</v>
      </c>
      <c r="O158" s="130">
        <f t="shared" ref="O158:O166" ca="1" si="125">IF(L158&gt;0,N158*100/L158,0)</f>
        <v>0</v>
      </c>
      <c r="P158" s="130">
        <f t="shared" ref="P158:P166" ca="1" si="126">IF(M158&gt;0,N158*100/M158,0)</f>
        <v>0</v>
      </c>
      <c r="Q158" s="130">
        <f t="shared" ref="Q158:S158" ca="1" si="127">Q159+Q160</f>
        <v>0</v>
      </c>
      <c r="R158" s="130">
        <f t="shared" ca="1" si="127"/>
        <v>0</v>
      </c>
      <c r="S158" s="130">
        <f t="shared" ca="1" si="127"/>
        <v>0</v>
      </c>
      <c r="T158" s="130">
        <f t="shared" ref="T158:T166" ca="1" si="128">IF(Q158&gt;0,S158*100/Q158,0)</f>
        <v>0</v>
      </c>
      <c r="U158" s="130">
        <f t="shared" ref="U158:U166" ca="1" si="129">IF(R158&gt;0,S158*100/R158,0)</f>
        <v>0</v>
      </c>
    </row>
    <row r="159" spans="1:21" ht="18.75" x14ac:dyDescent="0.25">
      <c r="A159" s="126"/>
      <c r="B159" s="37"/>
      <c r="C159" s="37"/>
      <c r="D159" s="37"/>
      <c r="E159" s="44" t="s">
        <v>20</v>
      </c>
      <c r="F159" s="37"/>
      <c r="G159" s="39"/>
      <c r="H159" s="131" t="s">
        <v>14</v>
      </c>
      <c r="I159" s="41"/>
      <c r="J159" s="41"/>
      <c r="K159" s="42"/>
      <c r="L159" s="43">
        <f t="shared" ref="L159:N159" ca="1" si="130">L162+L165</f>
        <v>0</v>
      </c>
      <c r="M159" s="43">
        <f t="shared" ca="1" si="130"/>
        <v>0</v>
      </c>
      <c r="N159" s="43">
        <f t="shared" ca="1" si="130"/>
        <v>0</v>
      </c>
      <c r="O159" s="43">
        <f t="shared" ca="1" si="125"/>
        <v>0</v>
      </c>
      <c r="P159" s="43">
        <f t="shared" ca="1" si="126"/>
        <v>0</v>
      </c>
      <c r="Q159" s="45">
        <f t="shared" ref="Q159:S159" ca="1" si="131">Q162+Q165</f>
        <v>0</v>
      </c>
      <c r="R159" s="45">
        <f t="shared" ca="1" si="131"/>
        <v>0</v>
      </c>
      <c r="S159" s="45">
        <f t="shared" ca="1" si="131"/>
        <v>0</v>
      </c>
      <c r="T159" s="45">
        <f t="shared" ca="1" si="128"/>
        <v>0</v>
      </c>
      <c r="U159" s="45">
        <f t="shared" ca="1" si="129"/>
        <v>0</v>
      </c>
    </row>
    <row r="160" spans="1:21" ht="18.75" x14ac:dyDescent="0.25">
      <c r="A160" s="126"/>
      <c r="B160" s="37"/>
      <c r="C160" s="37"/>
      <c r="D160" s="37"/>
      <c r="E160" s="44" t="s">
        <v>21</v>
      </c>
      <c r="F160" s="37"/>
      <c r="G160" s="39"/>
      <c r="H160" s="131" t="s">
        <v>14</v>
      </c>
      <c r="I160" s="41"/>
      <c r="J160" s="41"/>
      <c r="K160" s="42"/>
      <c r="L160" s="43">
        <f t="shared" ref="L160:N160" ca="1" si="132">L163+L166</f>
        <v>34500</v>
      </c>
      <c r="M160" s="43">
        <f t="shared" ca="1" si="132"/>
        <v>31500</v>
      </c>
      <c r="N160" s="43">
        <f t="shared" ca="1" si="132"/>
        <v>0</v>
      </c>
      <c r="O160" s="43">
        <f t="shared" ca="1" si="125"/>
        <v>0</v>
      </c>
      <c r="P160" s="43">
        <f t="shared" ca="1" si="126"/>
        <v>0</v>
      </c>
      <c r="Q160" s="43">
        <f t="shared" ref="Q160:S160" ca="1" si="133">Q163+Q166</f>
        <v>0</v>
      </c>
      <c r="R160" s="43">
        <f t="shared" ca="1" si="133"/>
        <v>0</v>
      </c>
      <c r="S160" s="43">
        <f t="shared" ca="1" si="133"/>
        <v>0</v>
      </c>
      <c r="T160" s="43">
        <f t="shared" ca="1" si="128"/>
        <v>0</v>
      </c>
      <c r="U160" s="43">
        <f t="shared" ca="1" si="129"/>
        <v>0</v>
      </c>
    </row>
    <row r="161" spans="1:21" ht="18.75" x14ac:dyDescent="0.25">
      <c r="A161" s="126"/>
      <c r="B161" s="37"/>
      <c r="C161" s="37"/>
      <c r="D161" s="38" t="s">
        <v>22</v>
      </c>
      <c r="E161" s="37"/>
      <c r="F161" s="37"/>
      <c r="G161" s="39"/>
      <c r="H161" s="132" t="s">
        <v>14</v>
      </c>
      <c r="I161" s="133"/>
      <c r="J161" s="133"/>
      <c r="K161" s="134"/>
      <c r="L161" s="43">
        <f t="shared" ref="L161:N161" ca="1" si="134">L162+L163</f>
        <v>34500</v>
      </c>
      <c r="M161" s="43">
        <f t="shared" ca="1" si="134"/>
        <v>31500</v>
      </c>
      <c r="N161" s="43">
        <f t="shared" ca="1" si="134"/>
        <v>0</v>
      </c>
      <c r="O161" s="43">
        <f t="shared" ca="1" si="125"/>
        <v>0</v>
      </c>
      <c r="P161" s="43">
        <f t="shared" ca="1" si="126"/>
        <v>0</v>
      </c>
      <c r="Q161" s="43">
        <f t="shared" ref="Q161:S161" ca="1" si="135">Q162+Q163</f>
        <v>0</v>
      </c>
      <c r="R161" s="43">
        <f t="shared" ca="1" si="135"/>
        <v>0</v>
      </c>
      <c r="S161" s="43">
        <f t="shared" ca="1" si="135"/>
        <v>0</v>
      </c>
      <c r="T161" s="43">
        <f t="shared" ca="1" si="128"/>
        <v>0</v>
      </c>
      <c r="U161" s="43">
        <f t="shared" ca="1" si="129"/>
        <v>0</v>
      </c>
    </row>
    <row r="162" spans="1:21" ht="18.75" x14ac:dyDescent="0.25">
      <c r="A162" s="126"/>
      <c r="B162" s="37"/>
      <c r="C162" s="37"/>
      <c r="D162" s="37"/>
      <c r="E162" s="44" t="s">
        <v>36</v>
      </c>
      <c r="F162" s="37"/>
      <c r="G162" s="39"/>
      <c r="H162" s="132" t="s">
        <v>14</v>
      </c>
      <c r="I162" s="133"/>
      <c r="J162" s="133"/>
      <c r="K162" s="134"/>
      <c r="L162" s="43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2" s="43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2" s="43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2" s="43">
        <f t="shared" ca="1" si="125"/>
        <v>0</v>
      </c>
      <c r="P162" s="43">
        <f t="shared" ca="1" si="126"/>
        <v>0</v>
      </c>
      <c r="Q162" s="45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2" s="45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2" s="45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2" s="45">
        <f t="shared" ca="1" si="128"/>
        <v>0</v>
      </c>
      <c r="U162" s="45">
        <f t="shared" ca="1" si="129"/>
        <v>0</v>
      </c>
    </row>
    <row r="163" spans="1:21" ht="18.75" x14ac:dyDescent="0.25">
      <c r="A163" s="126"/>
      <c r="B163" s="37"/>
      <c r="C163" s="37"/>
      <c r="D163" s="37"/>
      <c r="E163" s="44" t="s">
        <v>37</v>
      </c>
      <c r="F163" s="37"/>
      <c r="G163" s="39"/>
      <c r="H163" s="132" t="s">
        <v>14</v>
      </c>
      <c r="I163" s="133"/>
      <c r="J163" s="133"/>
      <c r="K163" s="134"/>
      <c r="L163" s="43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34500)</f>
        <v>34500</v>
      </c>
      <c r="M163" s="43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31500)</f>
        <v>31500</v>
      </c>
      <c r="N163" s="43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0)</f>
        <v>0</v>
      </c>
      <c r="O163" s="43">
        <f t="shared" ca="1" si="125"/>
        <v>0</v>
      </c>
      <c r="P163" s="43">
        <f t="shared" ca="1" si="126"/>
        <v>0</v>
      </c>
      <c r="Q163" s="43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3" s="43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3" s="43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3" s="43">
        <f t="shared" ca="1" si="128"/>
        <v>0</v>
      </c>
      <c r="U163" s="43">
        <f t="shared" ca="1" si="129"/>
        <v>0</v>
      </c>
    </row>
    <row r="164" spans="1:21" ht="18.75" x14ac:dyDescent="0.25">
      <c r="A164" s="126"/>
      <c r="B164" s="37"/>
      <c r="C164" s="37"/>
      <c r="D164" s="38" t="s">
        <v>23</v>
      </c>
      <c r="E164" s="37"/>
      <c r="F164" s="37"/>
      <c r="G164" s="39"/>
      <c r="H164" s="135" t="s">
        <v>14</v>
      </c>
      <c r="I164" s="133"/>
      <c r="J164" s="133"/>
      <c r="K164" s="134"/>
      <c r="L164" s="43">
        <f t="shared" ref="L164:N164" ca="1" si="136">L165+L166</f>
        <v>0</v>
      </c>
      <c r="M164" s="43">
        <f t="shared" ca="1" si="136"/>
        <v>0</v>
      </c>
      <c r="N164" s="43">
        <f t="shared" ca="1" si="136"/>
        <v>0</v>
      </c>
      <c r="O164" s="43">
        <f t="shared" ca="1" si="125"/>
        <v>0</v>
      </c>
      <c r="P164" s="43">
        <f t="shared" ca="1" si="126"/>
        <v>0</v>
      </c>
      <c r="Q164" s="43">
        <f t="shared" ref="Q164:S164" ca="1" si="137">Q165+Q166</f>
        <v>0</v>
      </c>
      <c r="R164" s="43">
        <f t="shared" ca="1" si="137"/>
        <v>0</v>
      </c>
      <c r="S164" s="43">
        <f t="shared" ca="1" si="137"/>
        <v>0</v>
      </c>
      <c r="T164" s="43">
        <f t="shared" ca="1" si="128"/>
        <v>0</v>
      </c>
      <c r="U164" s="43">
        <f t="shared" ca="1" si="129"/>
        <v>0</v>
      </c>
    </row>
    <row r="165" spans="1:21" ht="18.75" x14ac:dyDescent="0.25">
      <c r="A165" s="126"/>
      <c r="B165" s="37"/>
      <c r="C165" s="37"/>
      <c r="D165" s="37"/>
      <c r="E165" s="44" t="s">
        <v>20</v>
      </c>
      <c r="F165" s="37"/>
      <c r="G165" s="39"/>
      <c r="H165" s="132" t="s">
        <v>14</v>
      </c>
      <c r="I165" s="133"/>
      <c r="J165" s="133"/>
      <c r="K165" s="134"/>
      <c r="L165" s="43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5" s="43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5" s="43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5" s="43">
        <f t="shared" ca="1" si="125"/>
        <v>0</v>
      </c>
      <c r="P165" s="43">
        <f t="shared" ca="1" si="126"/>
        <v>0</v>
      </c>
      <c r="Q165" s="45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5" s="45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5" s="45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5" s="45">
        <f t="shared" ca="1" si="128"/>
        <v>0</v>
      </c>
      <c r="U165" s="45">
        <f t="shared" ca="1" si="129"/>
        <v>0</v>
      </c>
    </row>
    <row r="166" spans="1:21" ht="18.75" x14ac:dyDescent="0.25">
      <c r="A166" s="126"/>
      <c r="B166" s="37"/>
      <c r="C166" s="37"/>
      <c r="D166" s="37"/>
      <c r="E166" s="44" t="s">
        <v>21</v>
      </c>
      <c r="F166" s="37"/>
      <c r="G166" s="39"/>
      <c r="H166" s="135" t="s">
        <v>14</v>
      </c>
      <c r="I166" s="133"/>
      <c r="J166" s="133"/>
      <c r="K166" s="134"/>
      <c r="L166" s="43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6" s="43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6" s="43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6" s="43">
        <f t="shared" ca="1" si="125"/>
        <v>0</v>
      </c>
      <c r="P166" s="43">
        <f t="shared" ca="1" si="126"/>
        <v>0</v>
      </c>
      <c r="Q166" s="43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6" s="43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6" s="43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6" s="43">
        <f t="shared" ca="1" si="128"/>
        <v>0</v>
      </c>
      <c r="U166" s="43">
        <f t="shared" ca="1" si="129"/>
        <v>0</v>
      </c>
    </row>
    <row r="167" spans="1:21" ht="19.5" x14ac:dyDescent="0.3">
      <c r="A167" s="136"/>
      <c r="B167" s="137"/>
      <c r="C167" s="127" t="s">
        <v>18</v>
      </c>
      <c r="D167" s="138" t="s">
        <v>38</v>
      </c>
      <c r="E167" s="139"/>
      <c r="F167" s="139"/>
      <c r="G167" s="140"/>
      <c r="H167" s="179"/>
      <c r="I167" s="41"/>
      <c r="J167" s="41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37"/>
      <c r="C168" s="37"/>
      <c r="D168" s="188" t="s">
        <v>69</v>
      </c>
      <c r="E168" s="37"/>
      <c r="F168" s="37"/>
      <c r="G168" s="39"/>
      <c r="H168" s="135" t="s">
        <v>35</v>
      </c>
      <c r="I168" s="165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115)</f>
        <v>115</v>
      </c>
      <c r="J168" s="165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44)</f>
        <v>44</v>
      </c>
      <c r="K168" s="43">
        <f t="shared" ref="K168:K170" ca="1" si="138">IF(I168&gt;0,J168*100/I168,0)</f>
        <v>38.260869565217391</v>
      </c>
      <c r="L168" s="42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x14ac:dyDescent="0.25">
      <c r="A169" s="126"/>
      <c r="B169" s="37"/>
      <c r="C169" s="37"/>
      <c r="D169" s="188" t="s">
        <v>70</v>
      </c>
      <c r="E169" s="37"/>
      <c r="F169" s="37"/>
      <c r="G169" s="39"/>
      <c r="H169" s="135" t="s">
        <v>35</v>
      </c>
      <c r="I169" s="165">
        <f t="shared" ref="I169:I170" ca="1" si="139">I168</f>
        <v>115</v>
      </c>
      <c r="J169" s="189">
        <v>0</v>
      </c>
      <c r="K169" s="43">
        <f t="shared" ca="1" si="138"/>
        <v>0</v>
      </c>
      <c r="L169" s="42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x14ac:dyDescent="0.25">
      <c r="A170" s="190"/>
      <c r="B170" s="5"/>
      <c r="C170" s="5"/>
      <c r="D170" s="191" t="s">
        <v>71</v>
      </c>
      <c r="E170" s="5"/>
      <c r="F170" s="5"/>
      <c r="G170" s="49"/>
      <c r="H170" s="192" t="s">
        <v>35</v>
      </c>
      <c r="I170" s="193">
        <f t="shared" ca="1" si="139"/>
        <v>115</v>
      </c>
      <c r="J170" s="194">
        <v>0</v>
      </c>
      <c r="K170" s="108">
        <f t="shared" ca="1" si="138"/>
        <v>0</v>
      </c>
      <c r="L170" s="7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208" t="s">
        <v>74</v>
      </c>
      <c r="C173" s="209"/>
      <c r="D173" s="139"/>
      <c r="E173" s="139"/>
      <c r="F173" s="139"/>
      <c r="G173" s="140"/>
      <c r="H173" s="210" t="s">
        <v>35</v>
      </c>
      <c r="I173" s="211">
        <f t="shared" ref="I173:J173" ca="1" si="140">I184+I185</f>
        <v>189</v>
      </c>
      <c r="J173" s="211">
        <f t="shared" ca="1" si="140"/>
        <v>49</v>
      </c>
      <c r="K173" s="212">
        <f ca="1">IF(I173&gt;0,J173*100/I173,0)</f>
        <v>25.925925925925927</v>
      </c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37"/>
      <c r="C174" s="127" t="s">
        <v>18</v>
      </c>
      <c r="D174" s="128" t="s">
        <v>19</v>
      </c>
      <c r="E174" s="37"/>
      <c r="F174" s="37"/>
      <c r="G174" s="39"/>
      <c r="H174" s="129" t="s">
        <v>14</v>
      </c>
      <c r="I174" s="41"/>
      <c r="J174" s="41"/>
      <c r="K174" s="42"/>
      <c r="L174" s="130">
        <f t="shared" ref="L174:N174" ca="1" si="141">L175+L176</f>
        <v>333030</v>
      </c>
      <c r="M174" s="130">
        <f t="shared" ca="1" si="141"/>
        <v>1794000</v>
      </c>
      <c r="N174" s="130">
        <f t="shared" ca="1" si="141"/>
        <v>1377662.05</v>
      </c>
      <c r="O174" s="130">
        <f t="shared" ref="O174:O182" ca="1" si="142">IF(L174&gt;0,N174*100/L174,0)</f>
        <v>413.67505930396663</v>
      </c>
      <c r="P174" s="130">
        <f t="shared" ref="P174:P182" ca="1" si="143">IF(M174&gt;0,N174*100/M174,0)</f>
        <v>76.792756410256416</v>
      </c>
      <c r="Q174" s="130">
        <f t="shared" ref="Q174:S174" ca="1" si="144">Q175+Q176</f>
        <v>0</v>
      </c>
      <c r="R174" s="130">
        <f t="shared" ca="1" si="144"/>
        <v>0</v>
      </c>
      <c r="S174" s="130">
        <f t="shared" ca="1" si="144"/>
        <v>0</v>
      </c>
      <c r="T174" s="130">
        <f t="shared" ref="T174:T182" ca="1" si="145">IF(Q174&gt;0,S174*100/Q174,0)</f>
        <v>0</v>
      </c>
      <c r="U174" s="130">
        <f t="shared" ref="U174:U182" ca="1" si="146">IF(R174&gt;0,S174*100/R174,0)</f>
        <v>0</v>
      </c>
    </row>
    <row r="175" spans="1:21" ht="18.75" x14ac:dyDescent="0.25">
      <c r="A175" s="126"/>
      <c r="B175" s="37"/>
      <c r="C175" s="37"/>
      <c r="D175" s="37"/>
      <c r="E175" s="44" t="s">
        <v>20</v>
      </c>
      <c r="F175" s="37"/>
      <c r="G175" s="39"/>
      <c r="H175" s="131" t="s">
        <v>14</v>
      </c>
      <c r="I175" s="41"/>
      <c r="J175" s="41"/>
      <c r="K175" s="42"/>
      <c r="L175" s="43">
        <f t="shared" ref="L175:N175" ca="1" si="147">L178+L181</f>
        <v>0</v>
      </c>
      <c r="M175" s="43">
        <f t="shared" ca="1" si="147"/>
        <v>0</v>
      </c>
      <c r="N175" s="43">
        <f t="shared" ca="1" si="147"/>
        <v>0</v>
      </c>
      <c r="O175" s="43">
        <f t="shared" ca="1" si="142"/>
        <v>0</v>
      </c>
      <c r="P175" s="43">
        <f t="shared" ca="1" si="143"/>
        <v>0</v>
      </c>
      <c r="Q175" s="45">
        <f t="shared" ref="Q175:S175" ca="1" si="148">Q178+Q181</f>
        <v>0</v>
      </c>
      <c r="R175" s="45">
        <f t="shared" ca="1" si="148"/>
        <v>0</v>
      </c>
      <c r="S175" s="45">
        <f t="shared" ca="1" si="148"/>
        <v>0</v>
      </c>
      <c r="T175" s="45">
        <f t="shared" ca="1" si="145"/>
        <v>0</v>
      </c>
      <c r="U175" s="45">
        <f t="shared" ca="1" si="146"/>
        <v>0</v>
      </c>
    </row>
    <row r="176" spans="1:21" ht="18.75" x14ac:dyDescent="0.25">
      <c r="A176" s="126"/>
      <c r="B176" s="37"/>
      <c r="C176" s="37"/>
      <c r="D176" s="37"/>
      <c r="E176" s="44" t="s">
        <v>21</v>
      </c>
      <c r="F176" s="37"/>
      <c r="G176" s="39"/>
      <c r="H176" s="131" t="s">
        <v>14</v>
      </c>
      <c r="I176" s="41"/>
      <c r="J176" s="41"/>
      <c r="K176" s="42"/>
      <c r="L176" s="43">
        <f t="shared" ref="L176:N176" ca="1" si="149">L179+L182</f>
        <v>333030</v>
      </c>
      <c r="M176" s="43">
        <f t="shared" ca="1" si="149"/>
        <v>1794000</v>
      </c>
      <c r="N176" s="43">
        <f t="shared" ca="1" si="149"/>
        <v>1377662.05</v>
      </c>
      <c r="O176" s="43">
        <f t="shared" ca="1" si="142"/>
        <v>413.67505930396663</v>
      </c>
      <c r="P176" s="43">
        <f t="shared" ca="1" si="143"/>
        <v>76.792756410256416</v>
      </c>
      <c r="Q176" s="43">
        <f t="shared" ref="Q176:S176" ca="1" si="150">Q179+Q182</f>
        <v>0</v>
      </c>
      <c r="R176" s="43">
        <f t="shared" ca="1" si="150"/>
        <v>0</v>
      </c>
      <c r="S176" s="43">
        <f t="shared" ca="1" si="150"/>
        <v>0</v>
      </c>
      <c r="T176" s="43">
        <f t="shared" ca="1" si="145"/>
        <v>0</v>
      </c>
      <c r="U176" s="43">
        <f t="shared" ca="1" si="146"/>
        <v>0</v>
      </c>
    </row>
    <row r="177" spans="1:21" ht="18.75" x14ac:dyDescent="0.25">
      <c r="A177" s="126"/>
      <c r="B177" s="37"/>
      <c r="C177" s="37"/>
      <c r="D177" s="38" t="s">
        <v>22</v>
      </c>
      <c r="E177" s="37"/>
      <c r="F177" s="37"/>
      <c r="G177" s="39"/>
      <c r="H177" s="132" t="s">
        <v>14</v>
      </c>
      <c r="I177" s="133"/>
      <c r="J177" s="133"/>
      <c r="K177" s="134"/>
      <c r="L177" s="43">
        <f t="shared" ref="L177:N177" ca="1" si="151">L178+L179</f>
        <v>333030</v>
      </c>
      <c r="M177" s="43">
        <f t="shared" ca="1" si="151"/>
        <v>1794000</v>
      </c>
      <c r="N177" s="43">
        <f t="shared" ca="1" si="151"/>
        <v>1377662.05</v>
      </c>
      <c r="O177" s="43">
        <f t="shared" ca="1" si="142"/>
        <v>413.67505930396663</v>
      </c>
      <c r="P177" s="43">
        <f t="shared" ca="1" si="143"/>
        <v>76.792756410256416</v>
      </c>
      <c r="Q177" s="43">
        <f t="shared" ref="Q177:S177" ca="1" si="152">Q178+Q179</f>
        <v>0</v>
      </c>
      <c r="R177" s="43">
        <f t="shared" ca="1" si="152"/>
        <v>0</v>
      </c>
      <c r="S177" s="43">
        <f t="shared" ca="1" si="152"/>
        <v>0</v>
      </c>
      <c r="T177" s="43">
        <f t="shared" ca="1" si="145"/>
        <v>0</v>
      </c>
      <c r="U177" s="43">
        <f t="shared" ca="1" si="146"/>
        <v>0</v>
      </c>
    </row>
    <row r="178" spans="1:21" ht="18.75" x14ac:dyDescent="0.25">
      <c r="A178" s="126"/>
      <c r="B178" s="37"/>
      <c r="C178" s="37"/>
      <c r="D178" s="37"/>
      <c r="E178" s="44" t="s">
        <v>36</v>
      </c>
      <c r="F178" s="37"/>
      <c r="G178" s="39"/>
      <c r="H178" s="132" t="s">
        <v>14</v>
      </c>
      <c r="I178" s="133"/>
      <c r="J178" s="133"/>
      <c r="K178" s="134"/>
      <c r="L178" s="43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8" s="43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8" s="43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8" s="43">
        <f t="shared" ca="1" si="142"/>
        <v>0</v>
      </c>
      <c r="P178" s="43">
        <f t="shared" ca="1" si="143"/>
        <v>0</v>
      </c>
      <c r="Q178" s="45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8" s="45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8" s="45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8" s="45">
        <f t="shared" ca="1" si="145"/>
        <v>0</v>
      </c>
      <c r="U178" s="45">
        <f t="shared" ca="1" si="146"/>
        <v>0</v>
      </c>
    </row>
    <row r="179" spans="1:21" ht="18.75" x14ac:dyDescent="0.25">
      <c r="A179" s="126"/>
      <c r="B179" s="37"/>
      <c r="C179" s="37"/>
      <c r="D179" s="37"/>
      <c r="E179" s="44" t="s">
        <v>37</v>
      </c>
      <c r="F179" s="37"/>
      <c r="G179" s="39"/>
      <c r="H179" s="132" t="s">
        <v>14</v>
      </c>
      <c r="I179" s="133"/>
      <c r="J179" s="133"/>
      <c r="K179" s="134"/>
      <c r="L179" s="43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9" s="43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9" s="43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1377662.05)</f>
        <v>1377662.05</v>
      </c>
      <c r="O179" s="43">
        <f t="shared" ca="1" si="142"/>
        <v>413.67505930396663</v>
      </c>
      <c r="P179" s="43">
        <f t="shared" ca="1" si="143"/>
        <v>76.792756410256416</v>
      </c>
      <c r="Q179" s="43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0)</f>
        <v>0</v>
      </c>
      <c r="R179" s="43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0)</f>
        <v>0</v>
      </c>
      <c r="S179" s="43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0)</f>
        <v>0</v>
      </c>
      <c r="T179" s="43">
        <f t="shared" ca="1" si="145"/>
        <v>0</v>
      </c>
      <c r="U179" s="43">
        <f t="shared" ca="1" si="146"/>
        <v>0</v>
      </c>
    </row>
    <row r="180" spans="1:21" ht="18.75" x14ac:dyDescent="0.25">
      <c r="A180" s="126"/>
      <c r="B180" s="37"/>
      <c r="C180" s="37"/>
      <c r="D180" s="38" t="s">
        <v>23</v>
      </c>
      <c r="E180" s="37"/>
      <c r="F180" s="37"/>
      <c r="G180" s="39"/>
      <c r="H180" s="135" t="s">
        <v>14</v>
      </c>
      <c r="I180" s="133"/>
      <c r="J180" s="133"/>
      <c r="K180" s="134"/>
      <c r="L180" s="43">
        <f t="shared" ref="L180:N180" ca="1" si="153">L181+L182</f>
        <v>0</v>
      </c>
      <c r="M180" s="43">
        <f t="shared" ca="1" si="153"/>
        <v>0</v>
      </c>
      <c r="N180" s="43">
        <f t="shared" ca="1" si="153"/>
        <v>0</v>
      </c>
      <c r="O180" s="43">
        <f t="shared" ca="1" si="142"/>
        <v>0</v>
      </c>
      <c r="P180" s="43">
        <f t="shared" ca="1" si="143"/>
        <v>0</v>
      </c>
      <c r="Q180" s="43">
        <f t="shared" ref="Q180:S180" ca="1" si="154">Q181+Q182</f>
        <v>0</v>
      </c>
      <c r="R180" s="43">
        <f t="shared" ca="1" si="154"/>
        <v>0</v>
      </c>
      <c r="S180" s="43">
        <f t="shared" ca="1" si="154"/>
        <v>0</v>
      </c>
      <c r="T180" s="43">
        <f t="shared" ca="1" si="145"/>
        <v>0</v>
      </c>
      <c r="U180" s="43">
        <f t="shared" ca="1" si="146"/>
        <v>0</v>
      </c>
    </row>
    <row r="181" spans="1:21" ht="18.75" x14ac:dyDescent="0.25">
      <c r="A181" s="126"/>
      <c r="B181" s="37"/>
      <c r="C181" s="37"/>
      <c r="D181" s="37"/>
      <c r="E181" s="44" t="s">
        <v>20</v>
      </c>
      <c r="F181" s="37"/>
      <c r="G181" s="39"/>
      <c r="H181" s="132" t="s">
        <v>14</v>
      </c>
      <c r="I181" s="133"/>
      <c r="J181" s="133"/>
      <c r="K181" s="134"/>
      <c r="L181" s="43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1" s="43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1" s="43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1" s="43">
        <f t="shared" ca="1" si="142"/>
        <v>0</v>
      </c>
      <c r="P181" s="43">
        <f t="shared" ca="1" si="143"/>
        <v>0</v>
      </c>
      <c r="Q181" s="45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1" s="45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1" s="45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1" s="45">
        <f t="shared" ca="1" si="145"/>
        <v>0</v>
      </c>
      <c r="U181" s="45">
        <f t="shared" ca="1" si="146"/>
        <v>0</v>
      </c>
    </row>
    <row r="182" spans="1:21" ht="18.75" x14ac:dyDescent="0.25">
      <c r="A182" s="126"/>
      <c r="B182" s="37"/>
      <c r="C182" s="37"/>
      <c r="D182" s="37"/>
      <c r="E182" s="44" t="s">
        <v>21</v>
      </c>
      <c r="F182" s="37"/>
      <c r="G182" s="39"/>
      <c r="H182" s="135" t="s">
        <v>14</v>
      </c>
      <c r="I182" s="133"/>
      <c r="J182" s="133"/>
      <c r="K182" s="134"/>
      <c r="L182" s="43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2" s="43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2" s="43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2" s="43">
        <f t="shared" ca="1" si="142"/>
        <v>0</v>
      </c>
      <c r="P182" s="43">
        <f t="shared" ca="1" si="143"/>
        <v>0</v>
      </c>
      <c r="Q182" s="43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2" s="43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2" s="43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2" s="43">
        <f t="shared" ca="1" si="145"/>
        <v>0</v>
      </c>
      <c r="U182" s="43">
        <f t="shared" ca="1" si="146"/>
        <v>0</v>
      </c>
    </row>
    <row r="183" spans="1:21" ht="19.5" x14ac:dyDescent="0.3">
      <c r="A183" s="136"/>
      <c r="B183" s="137"/>
      <c r="C183" s="127" t="s">
        <v>18</v>
      </c>
      <c r="D183" s="138" t="s">
        <v>38</v>
      </c>
      <c r="E183" s="139"/>
      <c r="F183" s="139"/>
      <c r="G183" s="140"/>
      <c r="H183" s="179"/>
      <c r="I183" s="41"/>
      <c r="J183" s="41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37"/>
      <c r="C184" s="156"/>
      <c r="D184" s="215" t="s">
        <v>75</v>
      </c>
      <c r="E184" s="37"/>
      <c r="F184" s="37"/>
      <c r="G184" s="39"/>
      <c r="H184" s="216" t="s">
        <v>35</v>
      </c>
      <c r="I184" s="165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119)</f>
        <v>119</v>
      </c>
      <c r="J184" s="165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49)</f>
        <v>49</v>
      </c>
      <c r="K184" s="43">
        <f t="shared" ref="K184:K186" ca="1" si="155">IF(I184&gt;0,J184*100/I184,0)</f>
        <v>41.176470588235297</v>
      </c>
      <c r="L184" s="42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x14ac:dyDescent="0.25">
      <c r="A185" s="214"/>
      <c r="B185" s="156"/>
      <c r="C185" s="156"/>
      <c r="D185" s="215" t="s">
        <v>76</v>
      </c>
      <c r="E185" s="37"/>
      <c r="F185" s="37"/>
      <c r="G185" s="39"/>
      <c r="H185" s="216" t="s">
        <v>35</v>
      </c>
      <c r="I185" s="189">
        <v>70</v>
      </c>
      <c r="J185" s="189">
        <v>0</v>
      </c>
      <c r="K185" s="43">
        <f t="shared" si="155"/>
        <v>0</v>
      </c>
      <c r="L185" s="42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208" t="s">
        <v>77</v>
      </c>
      <c r="C186" s="209"/>
      <c r="D186" s="139"/>
      <c r="E186" s="139"/>
      <c r="F186" s="139"/>
      <c r="G186" s="140"/>
      <c r="H186" s="210" t="s">
        <v>35</v>
      </c>
      <c r="I186" s="211">
        <f t="shared" ref="I186:J186" ca="1" si="156">I231+I232</f>
        <v>0</v>
      </c>
      <c r="J186" s="211">
        <f t="shared" ca="1" si="156"/>
        <v>0</v>
      </c>
      <c r="K186" s="212">
        <f t="shared" ca="1" si="155"/>
        <v>0</v>
      </c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37"/>
      <c r="C187" s="127" t="s">
        <v>18</v>
      </c>
      <c r="D187" s="128" t="s">
        <v>19</v>
      </c>
      <c r="E187" s="37"/>
      <c r="F187" s="37"/>
      <c r="G187" s="39"/>
      <c r="H187" s="129" t="s">
        <v>14</v>
      </c>
      <c r="I187" s="41"/>
      <c r="J187" s="41"/>
      <c r="K187" s="42"/>
      <c r="L187" s="130">
        <f t="shared" ref="L187:N187" ca="1" si="157">L188+L189</f>
        <v>3628200</v>
      </c>
      <c r="M187" s="130">
        <f t="shared" ca="1" si="157"/>
        <v>3153460</v>
      </c>
      <c r="N187" s="130">
        <f t="shared" ca="1" si="157"/>
        <v>1244325.25</v>
      </c>
      <c r="O187" s="130">
        <f t="shared" ref="O187:O195" ca="1" si="158">IF(L187&gt;0,N187*100/L187,0)</f>
        <v>34.295938757510612</v>
      </c>
      <c r="P187" s="130">
        <f t="shared" ref="P187:P195" ca="1" si="159">IF(M187&gt;0,N187*100/M187,0)</f>
        <v>39.459046571067972</v>
      </c>
      <c r="Q187" s="130">
        <f t="shared" ref="Q187:S187" ca="1" si="160">Q188+Q189</f>
        <v>1484500</v>
      </c>
      <c r="R187" s="130">
        <f t="shared" ca="1" si="160"/>
        <v>1484500</v>
      </c>
      <c r="S187" s="130">
        <f t="shared" ca="1" si="160"/>
        <v>0</v>
      </c>
      <c r="T187" s="130">
        <f t="shared" ref="T187:T195" ca="1" si="161">IF(Q187&gt;0,S187*100/Q187,0)</f>
        <v>0</v>
      </c>
      <c r="U187" s="130">
        <f t="shared" ref="U187:U195" ca="1" si="162">IF(R187&gt;0,S187*100/R187,0)</f>
        <v>0</v>
      </c>
    </row>
    <row r="188" spans="1:21" ht="18.75" x14ac:dyDescent="0.25">
      <c r="A188" s="126"/>
      <c r="B188" s="37"/>
      <c r="C188" s="37"/>
      <c r="D188" s="37"/>
      <c r="E188" s="44" t="s">
        <v>20</v>
      </c>
      <c r="F188" s="37"/>
      <c r="G188" s="39"/>
      <c r="H188" s="131" t="s">
        <v>14</v>
      </c>
      <c r="I188" s="41"/>
      <c r="J188" s="41"/>
      <c r="K188" s="42"/>
      <c r="L188" s="43">
        <f t="shared" ref="L188:N188" ca="1" si="163">L191+L194</f>
        <v>0</v>
      </c>
      <c r="M188" s="43">
        <f t="shared" ca="1" si="163"/>
        <v>0</v>
      </c>
      <c r="N188" s="43">
        <f t="shared" ca="1" si="163"/>
        <v>0</v>
      </c>
      <c r="O188" s="43">
        <f t="shared" ca="1" si="158"/>
        <v>0</v>
      </c>
      <c r="P188" s="43">
        <f t="shared" ca="1" si="159"/>
        <v>0</v>
      </c>
      <c r="Q188" s="45">
        <f t="shared" ref="Q188:S188" ca="1" si="164">Q191+Q194</f>
        <v>0</v>
      </c>
      <c r="R188" s="45">
        <f t="shared" ca="1" si="164"/>
        <v>0</v>
      </c>
      <c r="S188" s="45">
        <f t="shared" ca="1" si="164"/>
        <v>0</v>
      </c>
      <c r="T188" s="45">
        <f t="shared" ca="1" si="161"/>
        <v>0</v>
      </c>
      <c r="U188" s="45">
        <f t="shared" ca="1" si="162"/>
        <v>0</v>
      </c>
    </row>
    <row r="189" spans="1:21" ht="18.75" x14ac:dyDescent="0.25">
      <c r="A189" s="126"/>
      <c r="B189" s="37"/>
      <c r="C189" s="37"/>
      <c r="D189" s="37"/>
      <c r="E189" s="44" t="s">
        <v>21</v>
      </c>
      <c r="F189" s="37"/>
      <c r="G189" s="39"/>
      <c r="H189" s="131" t="s">
        <v>14</v>
      </c>
      <c r="I189" s="41"/>
      <c r="J189" s="41"/>
      <c r="K189" s="42"/>
      <c r="L189" s="43">
        <f t="shared" ref="L189:N189" ca="1" si="165">L192+L195</f>
        <v>3628200</v>
      </c>
      <c r="M189" s="43">
        <f t="shared" ca="1" si="165"/>
        <v>3153460</v>
      </c>
      <c r="N189" s="43">
        <f t="shared" ca="1" si="165"/>
        <v>1244325.25</v>
      </c>
      <c r="O189" s="43">
        <f t="shared" ca="1" si="158"/>
        <v>34.295938757510612</v>
      </c>
      <c r="P189" s="43">
        <f t="shared" ca="1" si="159"/>
        <v>39.459046571067972</v>
      </c>
      <c r="Q189" s="43">
        <f t="shared" ref="Q189:S189" ca="1" si="166">Q192+Q195</f>
        <v>1484500</v>
      </c>
      <c r="R189" s="43">
        <f t="shared" ca="1" si="166"/>
        <v>1484500</v>
      </c>
      <c r="S189" s="43">
        <f t="shared" ca="1" si="166"/>
        <v>0</v>
      </c>
      <c r="T189" s="43">
        <f t="shared" ca="1" si="161"/>
        <v>0</v>
      </c>
      <c r="U189" s="43">
        <f t="shared" ca="1" si="162"/>
        <v>0</v>
      </c>
    </row>
    <row r="190" spans="1:21" ht="18.75" x14ac:dyDescent="0.25">
      <c r="A190" s="126"/>
      <c r="B190" s="37"/>
      <c r="C190" s="37"/>
      <c r="D190" s="38" t="s">
        <v>22</v>
      </c>
      <c r="E190" s="37"/>
      <c r="F190" s="37"/>
      <c r="G190" s="39"/>
      <c r="H190" s="132" t="s">
        <v>14</v>
      </c>
      <c r="I190" s="133"/>
      <c r="J190" s="133"/>
      <c r="K190" s="134"/>
      <c r="L190" s="43">
        <f t="shared" ref="L190:N190" ca="1" si="167">L191+L192</f>
        <v>3628200</v>
      </c>
      <c r="M190" s="43">
        <f t="shared" ca="1" si="167"/>
        <v>3153460</v>
      </c>
      <c r="N190" s="43">
        <f t="shared" ca="1" si="167"/>
        <v>1244325.25</v>
      </c>
      <c r="O190" s="43">
        <f t="shared" ca="1" si="158"/>
        <v>34.295938757510612</v>
      </c>
      <c r="P190" s="43">
        <f t="shared" ca="1" si="159"/>
        <v>39.459046571067972</v>
      </c>
      <c r="Q190" s="43">
        <f t="shared" ref="Q190:S190" ca="1" si="168">Q191+Q192</f>
        <v>1484500</v>
      </c>
      <c r="R190" s="43">
        <f t="shared" ca="1" si="168"/>
        <v>1484500</v>
      </c>
      <c r="S190" s="43">
        <f t="shared" ca="1" si="168"/>
        <v>0</v>
      </c>
      <c r="T190" s="43">
        <f t="shared" ca="1" si="161"/>
        <v>0</v>
      </c>
      <c r="U190" s="43">
        <f t="shared" ca="1" si="162"/>
        <v>0</v>
      </c>
    </row>
    <row r="191" spans="1:21" ht="18.75" x14ac:dyDescent="0.25">
      <c r="A191" s="126"/>
      <c r="B191" s="37"/>
      <c r="C191" s="37"/>
      <c r="D191" s="37"/>
      <c r="E191" s="44" t="s">
        <v>36</v>
      </c>
      <c r="F191" s="37"/>
      <c r="G191" s="39"/>
      <c r="H191" s="132" t="s">
        <v>14</v>
      </c>
      <c r="I191" s="133"/>
      <c r="J191" s="133"/>
      <c r="K191" s="134"/>
      <c r="L191" s="43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1" s="43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1" s="43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1" s="43">
        <f t="shared" ca="1" si="158"/>
        <v>0</v>
      </c>
      <c r="P191" s="43">
        <f t="shared" ca="1" si="159"/>
        <v>0</v>
      </c>
      <c r="Q191" s="45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1" s="45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1" s="45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1" s="45">
        <f t="shared" ca="1" si="161"/>
        <v>0</v>
      </c>
      <c r="U191" s="45">
        <f t="shared" ca="1" si="162"/>
        <v>0</v>
      </c>
    </row>
    <row r="192" spans="1:21" ht="18.75" x14ac:dyDescent="0.25">
      <c r="A192" s="126"/>
      <c r="B192" s="37"/>
      <c r="C192" s="37"/>
      <c r="D192" s="37"/>
      <c r="E192" s="44" t="s">
        <v>37</v>
      </c>
      <c r="F192" s="37"/>
      <c r="G192" s="39"/>
      <c r="H192" s="132" t="s">
        <v>14</v>
      </c>
      <c r="I192" s="133"/>
      <c r="J192" s="133"/>
      <c r="K192" s="134"/>
      <c r="L192" s="43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3628200)</f>
        <v>3628200</v>
      </c>
      <c r="M192" s="43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3153460)</f>
        <v>3153460</v>
      </c>
      <c r="N192" s="43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1244325.25)</f>
        <v>1244325.25</v>
      </c>
      <c r="O192" s="43">
        <f t="shared" ca="1" si="158"/>
        <v>34.295938757510612</v>
      </c>
      <c r="P192" s="43">
        <f t="shared" ca="1" si="159"/>
        <v>39.459046571067972</v>
      </c>
      <c r="Q192" s="43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1484500)</f>
        <v>1484500</v>
      </c>
      <c r="R192" s="43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1484500)</f>
        <v>1484500</v>
      </c>
      <c r="S192" s="43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0)</f>
        <v>0</v>
      </c>
      <c r="T192" s="43">
        <f t="shared" ca="1" si="161"/>
        <v>0</v>
      </c>
      <c r="U192" s="43">
        <f t="shared" ca="1" si="162"/>
        <v>0</v>
      </c>
    </row>
    <row r="193" spans="1:21" ht="18.75" x14ac:dyDescent="0.25">
      <c r="A193" s="126"/>
      <c r="B193" s="37"/>
      <c r="C193" s="37"/>
      <c r="D193" s="38" t="s">
        <v>23</v>
      </c>
      <c r="E193" s="37"/>
      <c r="F193" s="37"/>
      <c r="G193" s="39"/>
      <c r="H193" s="135" t="s">
        <v>14</v>
      </c>
      <c r="I193" s="133"/>
      <c r="J193" s="133"/>
      <c r="K193" s="134"/>
      <c r="L193" s="43">
        <f t="shared" ref="L193:N193" ca="1" si="169">L194+L195</f>
        <v>0</v>
      </c>
      <c r="M193" s="43">
        <f t="shared" ca="1" si="169"/>
        <v>0</v>
      </c>
      <c r="N193" s="43">
        <f t="shared" ca="1" si="169"/>
        <v>0</v>
      </c>
      <c r="O193" s="43">
        <f t="shared" ca="1" si="158"/>
        <v>0</v>
      </c>
      <c r="P193" s="43">
        <f t="shared" ca="1" si="159"/>
        <v>0</v>
      </c>
      <c r="Q193" s="43">
        <f t="shared" ref="Q193:S193" ca="1" si="170">Q194+Q195</f>
        <v>0</v>
      </c>
      <c r="R193" s="43">
        <f t="shared" ca="1" si="170"/>
        <v>0</v>
      </c>
      <c r="S193" s="43">
        <f t="shared" ca="1" si="170"/>
        <v>0</v>
      </c>
      <c r="T193" s="43">
        <f t="shared" ca="1" si="161"/>
        <v>0</v>
      </c>
      <c r="U193" s="43">
        <f t="shared" ca="1" si="162"/>
        <v>0</v>
      </c>
    </row>
    <row r="194" spans="1:21" ht="18.75" x14ac:dyDescent="0.25">
      <c r="A194" s="126"/>
      <c r="B194" s="37"/>
      <c r="C194" s="37"/>
      <c r="D194" s="37"/>
      <c r="E194" s="44" t="s">
        <v>20</v>
      </c>
      <c r="F194" s="37"/>
      <c r="G194" s="39"/>
      <c r="H194" s="132" t="s">
        <v>14</v>
      </c>
      <c r="I194" s="133"/>
      <c r="J194" s="133"/>
      <c r="K194" s="134"/>
      <c r="L194" s="43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4" s="43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4" s="43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4" s="43">
        <f t="shared" ca="1" si="158"/>
        <v>0</v>
      </c>
      <c r="P194" s="43">
        <f t="shared" ca="1" si="159"/>
        <v>0</v>
      </c>
      <c r="Q194" s="45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4" s="45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4" s="45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4" s="45">
        <f t="shared" ca="1" si="161"/>
        <v>0</v>
      </c>
      <c r="U194" s="45">
        <f t="shared" ca="1" si="162"/>
        <v>0</v>
      </c>
    </row>
    <row r="195" spans="1:21" ht="18.75" x14ac:dyDescent="0.25">
      <c r="A195" s="126"/>
      <c r="B195" s="37"/>
      <c r="C195" s="37"/>
      <c r="D195" s="37"/>
      <c r="E195" s="44" t="s">
        <v>21</v>
      </c>
      <c r="F195" s="37"/>
      <c r="G195" s="39"/>
      <c r="H195" s="135" t="s">
        <v>14</v>
      </c>
      <c r="I195" s="133"/>
      <c r="J195" s="133"/>
      <c r="K195" s="134"/>
      <c r="L195" s="43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5" s="43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5" s="43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5" s="43">
        <f t="shared" ca="1" si="158"/>
        <v>0</v>
      </c>
      <c r="P195" s="43">
        <f t="shared" ca="1" si="159"/>
        <v>0</v>
      </c>
      <c r="Q195" s="43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5" s="43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5" s="43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5" s="43">
        <f t="shared" ca="1" si="161"/>
        <v>0</v>
      </c>
      <c r="U195" s="43">
        <f t="shared" ca="1" si="162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223">
        <f t="shared" ref="I196:J196" ca="1" si="171">I199</f>
        <v>68</v>
      </c>
      <c r="J196" s="223">
        <f t="shared" ca="1" si="171"/>
        <v>14</v>
      </c>
      <c r="K196" s="224">
        <f ca="1">IF(I196&gt;0,J196*100/I196,0)</f>
        <v>20.588235294117649</v>
      </c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37"/>
      <c r="C197" s="127" t="s">
        <v>18</v>
      </c>
      <c r="D197" s="226" t="s">
        <v>19</v>
      </c>
      <c r="E197" s="37"/>
      <c r="F197" s="37"/>
      <c r="G197" s="39"/>
      <c r="H197" s="227" t="s">
        <v>14</v>
      </c>
      <c r="I197" s="41"/>
      <c r="J197" s="41"/>
      <c r="K197" s="42"/>
      <c r="L197" s="130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7" s="130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7" s="130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2440)</f>
        <v>2440</v>
      </c>
      <c r="O197" s="130">
        <f ca="1">IF(L197&gt;0,N197*100/L197,0)</f>
        <v>2.392156862745098</v>
      </c>
      <c r="P197" s="42"/>
      <c r="Q197" s="42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7" s="42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7" s="42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7" s="42"/>
      <c r="U197" s="42"/>
    </row>
    <row r="198" spans="1:21" ht="19.5" x14ac:dyDescent="0.3">
      <c r="A198" s="136"/>
      <c r="B198" s="137"/>
      <c r="C198" s="127" t="s">
        <v>18</v>
      </c>
      <c r="D198" s="138" t="s">
        <v>38</v>
      </c>
      <c r="E198" s="139"/>
      <c r="F198" s="139"/>
      <c r="G198" s="140"/>
      <c r="H198" s="141"/>
      <c r="I198" s="41"/>
      <c r="J198" s="41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43"/>
      <c r="F199" s="143"/>
      <c r="G199" s="141"/>
      <c r="H199" s="148" t="s">
        <v>79</v>
      </c>
      <c r="I199" s="165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9" s="165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14)</f>
        <v>14</v>
      </c>
      <c r="K199" s="43">
        <f ca="1">IF(I199&gt;0,J199*100/I199,0)</f>
        <v>20.588235294117649</v>
      </c>
      <c r="L199" s="42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9.5" x14ac:dyDescent="0.3">
      <c r="A200" s="136"/>
      <c r="B200" s="137"/>
      <c r="C200" s="137"/>
      <c r="D200" s="164" t="s">
        <v>81</v>
      </c>
      <c r="E200" s="143"/>
      <c r="F200" s="143"/>
      <c r="G200" s="141"/>
      <c r="H200" s="228" t="s">
        <v>35</v>
      </c>
      <c r="I200" s="41"/>
      <c r="J200" s="145">
        <f ca="1">J201+J202</f>
        <v>245</v>
      </c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43"/>
      <c r="G201" s="141"/>
      <c r="H201" s="216" t="s">
        <v>35</v>
      </c>
      <c r="I201" s="41"/>
      <c r="J201" s="165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245)</f>
        <v>245</v>
      </c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43"/>
      <c r="G202" s="141"/>
      <c r="H202" s="216" t="s">
        <v>35</v>
      </c>
      <c r="I202" s="41"/>
      <c r="J202" s="165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0)</f>
        <v>0</v>
      </c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229" t="s">
        <v>85</v>
      </c>
      <c r="I203" s="223">
        <f t="shared" ref="I203:J203" ca="1" si="172">I210</f>
        <v>42</v>
      </c>
      <c r="J203" s="223">
        <f t="shared" ca="1" si="172"/>
        <v>5</v>
      </c>
      <c r="K203" s="224">
        <f ca="1">IF(I203&gt;0,J203*100/I203,0)</f>
        <v>11.904761904761905</v>
      </c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37"/>
      <c r="C204" s="127" t="s">
        <v>18</v>
      </c>
      <c r="D204" s="226" t="s">
        <v>19</v>
      </c>
      <c r="E204" s="37"/>
      <c r="F204" s="37"/>
      <c r="G204" s="39"/>
      <c r="H204" s="227" t="s">
        <v>14</v>
      </c>
      <c r="I204" s="133"/>
      <c r="J204" s="133"/>
      <c r="K204" s="134"/>
      <c r="L204" s="130">
        <f t="shared" ref="L204:N204" ca="1" si="173">L205+L206+L207+L208</f>
        <v>577000</v>
      </c>
      <c r="M204" s="130">
        <f t="shared" ca="1" si="173"/>
        <v>0</v>
      </c>
      <c r="N204" s="130">
        <f t="shared" ca="1" si="173"/>
        <v>35000</v>
      </c>
      <c r="O204" s="130">
        <f ca="1">IF(L204&gt;0,N204*100/L204,0)</f>
        <v>6.0658578856152516</v>
      </c>
      <c r="P204" s="42"/>
      <c r="Q204" s="42">
        <f t="shared" ref="Q204:S204" ca="1" si="174">Q205+Q206+Q207+Q208</f>
        <v>0</v>
      </c>
      <c r="R204" s="42">
        <f t="shared" ca="1" si="174"/>
        <v>0</v>
      </c>
      <c r="S204" s="42">
        <f t="shared" ca="1" si="174"/>
        <v>0</v>
      </c>
      <c r="T204" s="42"/>
      <c r="U204" s="42"/>
    </row>
    <row r="205" spans="1:21" ht="18.75" x14ac:dyDescent="0.25">
      <c r="A205" s="126"/>
      <c r="B205" s="156"/>
      <c r="C205" s="37"/>
      <c r="D205" s="44" t="s">
        <v>86</v>
      </c>
      <c r="E205" s="37"/>
      <c r="F205" s="37"/>
      <c r="G205" s="39"/>
      <c r="H205" s="132" t="s">
        <v>14</v>
      </c>
      <c r="I205" s="133"/>
      <c r="J205" s="133"/>
      <c r="K205" s="134"/>
      <c r="L205" s="43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42000)</f>
        <v>42000</v>
      </c>
      <c r="M205" s="43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5" s="43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3000)</f>
        <v>3000</v>
      </c>
      <c r="O205" s="134"/>
      <c r="P205" s="42"/>
      <c r="Q205" s="42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5" s="42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5" s="42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5" s="134"/>
      <c r="U205" s="42"/>
    </row>
    <row r="206" spans="1:21" ht="18.75" x14ac:dyDescent="0.25">
      <c r="A206" s="214"/>
      <c r="B206" s="156"/>
      <c r="C206" s="37"/>
      <c r="D206" s="44" t="s">
        <v>87</v>
      </c>
      <c r="E206" s="37"/>
      <c r="F206" s="37"/>
      <c r="G206" s="39"/>
      <c r="H206" s="40" t="s">
        <v>14</v>
      </c>
      <c r="I206" s="41"/>
      <c r="J206" s="41"/>
      <c r="K206" s="42"/>
      <c r="L206" s="230">
        <v>0</v>
      </c>
      <c r="M206" s="230">
        <v>0</v>
      </c>
      <c r="N206" s="230">
        <v>0</v>
      </c>
      <c r="O206" s="134"/>
      <c r="P206" s="42"/>
      <c r="Q206" s="42">
        <v>0</v>
      </c>
      <c r="R206" s="42">
        <v>0</v>
      </c>
      <c r="S206" s="42">
        <v>0</v>
      </c>
      <c r="T206" s="134"/>
      <c r="U206" s="42"/>
    </row>
    <row r="207" spans="1:21" ht="18.75" x14ac:dyDescent="0.25">
      <c r="A207" s="214"/>
      <c r="B207" s="156"/>
      <c r="C207" s="37"/>
      <c r="D207" s="44" t="s">
        <v>88</v>
      </c>
      <c r="E207" s="37"/>
      <c r="F207" s="37"/>
      <c r="G207" s="39"/>
      <c r="H207" s="40" t="s">
        <v>14</v>
      </c>
      <c r="I207" s="41"/>
      <c r="J207" s="41"/>
      <c r="K207" s="42"/>
      <c r="L207" s="43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336000)</f>
        <v>336000</v>
      </c>
      <c r="M207" s="43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7" s="43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32000)</f>
        <v>32000</v>
      </c>
      <c r="O207" s="134"/>
      <c r="P207" s="42"/>
      <c r="Q207" s="42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0)</f>
        <v>0</v>
      </c>
      <c r="R207" s="42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7" s="42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0)</f>
        <v>0</v>
      </c>
      <c r="T207" s="134"/>
      <c r="U207" s="42"/>
    </row>
    <row r="208" spans="1:21" ht="18.75" x14ac:dyDescent="0.25">
      <c r="A208" s="214"/>
      <c r="B208" s="156"/>
      <c r="C208" s="37"/>
      <c r="D208" s="44" t="s">
        <v>89</v>
      </c>
      <c r="E208" s="37"/>
      <c r="F208" s="37"/>
      <c r="G208" s="39"/>
      <c r="H208" s="40" t="s">
        <v>14</v>
      </c>
      <c r="I208" s="41"/>
      <c r="J208" s="41"/>
      <c r="K208" s="42"/>
      <c r="L208" s="43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199000)</f>
        <v>199000</v>
      </c>
      <c r="M208" s="43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8" s="43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0)</f>
        <v>0</v>
      </c>
      <c r="O208" s="134"/>
      <c r="P208" s="42"/>
      <c r="Q208" s="42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8" s="42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8" s="42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8" s="134"/>
      <c r="U208" s="42"/>
    </row>
    <row r="209" spans="1:21" ht="19.5" x14ac:dyDescent="0.3">
      <c r="A209" s="136"/>
      <c r="B209" s="137"/>
      <c r="C209" s="127" t="s">
        <v>18</v>
      </c>
      <c r="D209" s="138" t="s">
        <v>38</v>
      </c>
      <c r="E209" s="139"/>
      <c r="F209" s="139"/>
      <c r="G209" s="140"/>
      <c r="H209" s="141"/>
      <c r="I209" s="133"/>
      <c r="J209" s="133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142" t="s">
        <v>90</v>
      </c>
      <c r="E210" s="143"/>
      <c r="F210" s="143"/>
      <c r="G210" s="141"/>
      <c r="H210" s="231" t="s">
        <v>85</v>
      </c>
      <c r="I210" s="165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42)</f>
        <v>42</v>
      </c>
      <c r="J210" s="165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5)</f>
        <v>5</v>
      </c>
      <c r="K210" s="150">
        <f ca="1">IF(I210&gt;0,J210*100/I210,0)</f>
        <v>11.904761904761905</v>
      </c>
      <c r="L210" s="42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43"/>
      <c r="F211" s="143"/>
      <c r="G211" s="141"/>
      <c r="H211" s="141"/>
      <c r="I211" s="41"/>
      <c r="J211" s="41"/>
      <c r="K211" s="134"/>
      <c r="L211" s="42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43"/>
      <c r="E212" s="164" t="s">
        <v>91</v>
      </c>
      <c r="F212" s="143"/>
      <c r="G212" s="141"/>
      <c r="H212" s="231" t="s">
        <v>85</v>
      </c>
      <c r="I212" s="189">
        <v>0</v>
      </c>
      <c r="J212" s="165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1)</f>
        <v>1</v>
      </c>
      <c r="K212" s="150">
        <f t="shared" ref="K212:K214" si="175">IF(I212&gt;0,J212*100/I212,0)</f>
        <v>0</v>
      </c>
      <c r="L212" s="42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43"/>
      <c r="E213" s="164" t="s">
        <v>92</v>
      </c>
      <c r="F213" s="143"/>
      <c r="G213" s="143"/>
      <c r="H213" s="232" t="s">
        <v>93</v>
      </c>
      <c r="I213" s="189">
        <v>0</v>
      </c>
      <c r="J213" s="165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0)</f>
        <v>0</v>
      </c>
      <c r="K213" s="150">
        <f t="shared" si="175"/>
        <v>0</v>
      </c>
      <c r="L213" s="42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229" t="s">
        <v>85</v>
      </c>
      <c r="I214" s="223">
        <f t="shared" ref="I214:J214" ca="1" si="176">I221</f>
        <v>4</v>
      </c>
      <c r="J214" s="223">
        <f t="shared" ca="1" si="176"/>
        <v>0</v>
      </c>
      <c r="K214" s="224">
        <f t="shared" ca="1" si="175"/>
        <v>0</v>
      </c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37"/>
      <c r="C215" s="127" t="s">
        <v>18</v>
      </c>
      <c r="D215" s="226" t="s">
        <v>19</v>
      </c>
      <c r="E215" s="37"/>
      <c r="F215" s="37"/>
      <c r="G215" s="39"/>
      <c r="H215" s="227" t="s">
        <v>14</v>
      </c>
      <c r="I215" s="133"/>
      <c r="J215" s="133"/>
      <c r="K215" s="134"/>
      <c r="L215" s="130">
        <f t="shared" ref="L215:N215" ca="1" si="177">L216+L217+L218</f>
        <v>56000</v>
      </c>
      <c r="M215" s="130">
        <f t="shared" ca="1" si="177"/>
        <v>0</v>
      </c>
      <c r="N215" s="130">
        <f t="shared" ca="1" si="177"/>
        <v>0</v>
      </c>
      <c r="O215" s="130">
        <f ca="1">IF(L215&gt;0,N215*100/L215,0)</f>
        <v>0</v>
      </c>
      <c r="P215" s="42"/>
      <c r="Q215" s="42">
        <f t="shared" ref="Q215:S215" ca="1" si="178">Q216+Q217+Q218</f>
        <v>0</v>
      </c>
      <c r="R215" s="42">
        <f t="shared" ca="1" si="178"/>
        <v>0</v>
      </c>
      <c r="S215" s="42">
        <f t="shared" ca="1" si="178"/>
        <v>0</v>
      </c>
      <c r="T215" s="42"/>
      <c r="U215" s="42"/>
    </row>
    <row r="216" spans="1:21" ht="18.75" x14ac:dyDescent="0.25">
      <c r="A216" s="126"/>
      <c r="B216" s="156"/>
      <c r="C216" s="37"/>
      <c r="D216" s="44" t="s">
        <v>86</v>
      </c>
      <c r="E216" s="37"/>
      <c r="F216" s="37"/>
      <c r="G216" s="39"/>
      <c r="H216" s="132" t="s">
        <v>14</v>
      </c>
      <c r="I216" s="133"/>
      <c r="J216" s="133"/>
      <c r="K216" s="134"/>
      <c r="L216" s="43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6" s="43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6" s="43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0)</f>
        <v>0</v>
      </c>
      <c r="O216" s="134"/>
      <c r="P216" s="42"/>
      <c r="Q216" s="42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6" s="42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6" s="42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6" s="134"/>
      <c r="U216" s="42"/>
    </row>
    <row r="217" spans="1:21" ht="18.75" x14ac:dyDescent="0.25">
      <c r="A217" s="214"/>
      <c r="B217" s="156"/>
      <c r="C217" s="156"/>
      <c r="D217" s="44" t="s">
        <v>95</v>
      </c>
      <c r="E217" s="37"/>
      <c r="F217" s="37"/>
      <c r="G217" s="39"/>
      <c r="H217" s="132" t="s">
        <v>14</v>
      </c>
      <c r="I217" s="41"/>
      <c r="J217" s="41"/>
      <c r="K217" s="42"/>
      <c r="L217" s="43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7" s="43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7" s="43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0)</f>
        <v>0</v>
      </c>
      <c r="O217" s="134"/>
      <c r="P217" s="42"/>
      <c r="Q217" s="42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7" s="42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7" s="42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7" s="134"/>
      <c r="U217" s="42"/>
    </row>
    <row r="218" spans="1:21" ht="18.75" x14ac:dyDescent="0.25">
      <c r="A218" s="214"/>
      <c r="B218" s="156"/>
      <c r="C218" s="156"/>
      <c r="D218" s="44" t="s">
        <v>88</v>
      </c>
      <c r="E218" s="37"/>
      <c r="F218" s="37"/>
      <c r="G218" s="39"/>
      <c r="H218" s="132" t="s">
        <v>14</v>
      </c>
      <c r="I218" s="41"/>
      <c r="J218" s="41"/>
      <c r="K218" s="42"/>
      <c r="L218" s="43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32000)</f>
        <v>32000</v>
      </c>
      <c r="M218" s="43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8" s="43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8" s="134"/>
      <c r="P218" s="42"/>
      <c r="Q218" s="42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0)</f>
        <v>0</v>
      </c>
      <c r="R218" s="42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8" s="42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0)</f>
        <v>0</v>
      </c>
      <c r="T218" s="134"/>
      <c r="U218" s="42"/>
    </row>
    <row r="219" spans="1:21" ht="19.5" x14ac:dyDescent="0.3">
      <c r="A219" s="136"/>
      <c r="B219" s="137"/>
      <c r="C219" s="159" t="s">
        <v>18</v>
      </c>
      <c r="D219" s="138" t="s">
        <v>38</v>
      </c>
      <c r="E219" s="139"/>
      <c r="F219" s="139"/>
      <c r="G219" s="140"/>
      <c r="H219" s="141"/>
      <c r="I219" s="133"/>
      <c r="J219" s="41"/>
      <c r="K219" s="42"/>
      <c r="L219" s="42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142" t="s">
        <v>96</v>
      </c>
      <c r="E220" s="143"/>
      <c r="F220" s="143"/>
      <c r="G220" s="141"/>
      <c r="H220" s="231" t="s">
        <v>85</v>
      </c>
      <c r="I220" s="165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20" s="165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0)</f>
        <v>0</v>
      </c>
      <c r="K220" s="43">
        <f t="shared" ref="K220:K222" ca="1" si="179">IF(I220&gt;0,J220*100/I220,0)</f>
        <v>0</v>
      </c>
      <c r="L220" s="42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142" t="s">
        <v>97</v>
      </c>
      <c r="E221" s="143"/>
      <c r="F221" s="143"/>
      <c r="G221" s="141"/>
      <c r="H221" s="231" t="s">
        <v>85</v>
      </c>
      <c r="I221" s="165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1" s="165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0)</f>
        <v>0</v>
      </c>
      <c r="K221" s="43">
        <f t="shared" ca="1" si="179"/>
        <v>0</v>
      </c>
      <c r="L221" s="42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223">
        <f t="shared" ref="I222:J222" ca="1" si="180">I230</f>
        <v>1024000</v>
      </c>
      <c r="J222" s="223">
        <f t="shared" ca="1" si="180"/>
        <v>0</v>
      </c>
      <c r="K222" s="224">
        <f t="shared" ca="1" si="179"/>
        <v>0</v>
      </c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37"/>
      <c r="C223" s="127" t="s">
        <v>18</v>
      </c>
      <c r="D223" s="226" t="s">
        <v>19</v>
      </c>
      <c r="E223" s="37"/>
      <c r="F223" s="37"/>
      <c r="G223" s="39"/>
      <c r="H223" s="227" t="s">
        <v>14</v>
      </c>
      <c r="I223" s="133"/>
      <c r="J223" s="133"/>
      <c r="K223" s="134"/>
      <c r="L223" s="130">
        <f t="shared" ref="L223:N223" ca="1" si="181">L224+L225+L226</f>
        <v>154500</v>
      </c>
      <c r="M223" s="130">
        <f t="shared" ca="1" si="181"/>
        <v>0</v>
      </c>
      <c r="N223" s="130">
        <f t="shared" ca="1" si="181"/>
        <v>0</v>
      </c>
      <c r="O223" s="130">
        <f ca="1">IF(L223&gt;0,N223*100/L223,0)</f>
        <v>0</v>
      </c>
      <c r="P223" s="42"/>
      <c r="Q223" s="42">
        <f t="shared" ref="Q223:S223" ca="1" si="182">Q224+Q225+Q226</f>
        <v>0</v>
      </c>
      <c r="R223" s="42">
        <f t="shared" ca="1" si="182"/>
        <v>0</v>
      </c>
      <c r="S223" s="42">
        <f t="shared" ca="1" si="182"/>
        <v>0</v>
      </c>
      <c r="T223" s="42"/>
      <c r="U223" s="42"/>
    </row>
    <row r="224" spans="1:21" ht="18.75" x14ac:dyDescent="0.25">
      <c r="A224" s="126"/>
      <c r="B224" s="156"/>
      <c r="C224" s="37"/>
      <c r="D224" s="44" t="s">
        <v>86</v>
      </c>
      <c r="E224" s="37"/>
      <c r="F224" s="37"/>
      <c r="G224" s="39"/>
      <c r="H224" s="132" t="s">
        <v>14</v>
      </c>
      <c r="I224" s="133"/>
      <c r="J224" s="133"/>
      <c r="K224" s="134"/>
      <c r="L224" s="43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129000)</f>
        <v>129000</v>
      </c>
      <c r="M224" s="43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4" s="43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0)</f>
        <v>0</v>
      </c>
      <c r="O224" s="134"/>
      <c r="P224" s="42"/>
      <c r="Q224" s="42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4" s="42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4" s="42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4" s="134"/>
      <c r="U224" s="42"/>
    </row>
    <row r="225" spans="1:21" ht="18.75" x14ac:dyDescent="0.25">
      <c r="A225" s="214"/>
      <c r="B225" s="156"/>
      <c r="C225" s="156"/>
      <c r="D225" s="44" t="s">
        <v>100</v>
      </c>
      <c r="E225" s="37"/>
      <c r="F225" s="37"/>
      <c r="G225" s="39"/>
      <c r="H225" s="132" t="s">
        <v>14</v>
      </c>
      <c r="I225" s="41"/>
      <c r="J225" s="41"/>
      <c r="K225" s="42"/>
      <c r="L225" s="43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25500)</f>
        <v>25500</v>
      </c>
      <c r="M225" s="43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5" s="43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0)</f>
        <v>0</v>
      </c>
      <c r="O225" s="134"/>
      <c r="P225" s="42"/>
      <c r="Q225" s="42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5" s="42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5" s="42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5" s="134"/>
      <c r="U225" s="42"/>
    </row>
    <row r="226" spans="1:21" ht="12.75" hidden="1" x14ac:dyDescent="0.2">
      <c r="A226" s="233"/>
      <c r="B226" s="234"/>
      <c r="C226" s="234"/>
      <c r="D226" s="235"/>
      <c r="E226" s="235"/>
      <c r="F226" s="235"/>
      <c r="G226" s="236"/>
      <c r="H226" s="237"/>
      <c r="I226" s="238"/>
      <c r="J226" s="238"/>
      <c r="K226" s="239"/>
      <c r="L226" s="239"/>
      <c r="M226" s="239"/>
      <c r="N226" s="239"/>
      <c r="O226" s="239"/>
      <c r="P226" s="239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159" t="s">
        <v>18</v>
      </c>
      <c r="D227" s="138" t="s">
        <v>38</v>
      </c>
      <c r="E227" s="139"/>
      <c r="F227" s="139"/>
      <c r="G227" s="140"/>
      <c r="H227" s="141"/>
      <c r="I227" s="133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44" t="s">
        <v>101</v>
      </c>
      <c r="E228" s="143"/>
      <c r="F228" s="143"/>
      <c r="G228" s="141"/>
      <c r="H228" s="141"/>
      <c r="I228" s="41"/>
      <c r="J228" s="41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142" t="s">
        <v>102</v>
      </c>
      <c r="F229" s="143"/>
      <c r="G229" s="141"/>
      <c r="H229" s="148" t="s">
        <v>99</v>
      </c>
      <c r="I229" s="165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9" s="165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0)</f>
        <v>0</v>
      </c>
      <c r="K229" s="150">
        <f t="shared" ref="K229:K232" ca="1" si="183">IF(I229&gt;0,J229*100/I229,0)</f>
        <v>0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142" t="s">
        <v>103</v>
      </c>
      <c r="F230" s="143"/>
      <c r="G230" s="141"/>
      <c r="H230" s="148" t="s">
        <v>99</v>
      </c>
      <c r="I230" s="165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30" s="165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0)</f>
        <v>0</v>
      </c>
      <c r="K230" s="150">
        <f t="shared" ca="1" si="183"/>
        <v>0</v>
      </c>
      <c r="L230" s="42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44" t="s">
        <v>104</v>
      </c>
      <c r="E231" s="143"/>
      <c r="F231" s="143"/>
      <c r="G231" s="141"/>
      <c r="H231" s="148" t="s">
        <v>35</v>
      </c>
      <c r="I231" s="165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1" s="165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1" s="150">
        <f t="shared" ca="1" si="183"/>
        <v>0</v>
      </c>
      <c r="L231" s="42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223">
        <f t="shared" ref="I232:J232" si="184">I243+I254</f>
        <v>0</v>
      </c>
      <c r="J232" s="223">
        <f t="shared" si="184"/>
        <v>0</v>
      </c>
      <c r="K232" s="224">
        <f t="shared" si="183"/>
        <v>0</v>
      </c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x14ac:dyDescent="0.3">
      <c r="A233" s="126"/>
      <c r="B233" s="37"/>
      <c r="C233" s="127" t="s">
        <v>18</v>
      </c>
      <c r="D233" s="128" t="s">
        <v>19</v>
      </c>
      <c r="E233" s="37"/>
      <c r="F233" s="37"/>
      <c r="G233" s="39"/>
      <c r="H233" s="227" t="s">
        <v>14</v>
      </c>
      <c r="I233" s="133"/>
      <c r="J233" s="133"/>
      <c r="K233" s="134"/>
      <c r="L233" s="130">
        <f t="shared" ref="L233:N233" ca="1" si="185">L234+L235+L236+L237</f>
        <v>1282700</v>
      </c>
      <c r="M233" s="130">
        <f t="shared" ca="1" si="185"/>
        <v>0</v>
      </c>
      <c r="N233" s="130">
        <f t="shared" ca="1" si="185"/>
        <v>0</v>
      </c>
      <c r="O233" s="130">
        <f ca="1">IF(L233&gt;0,N233*100/L233,0)</f>
        <v>0</v>
      </c>
      <c r="P233" s="42"/>
      <c r="Q233" s="42">
        <f t="shared" ref="Q233:S233" ca="1" si="186">Q234+Q235+Q236+Q237</f>
        <v>0</v>
      </c>
      <c r="R233" s="42">
        <f t="shared" ca="1" si="186"/>
        <v>0</v>
      </c>
      <c r="S233" s="42">
        <f t="shared" ca="1" si="186"/>
        <v>0</v>
      </c>
      <c r="T233" s="42"/>
      <c r="U233" s="42"/>
    </row>
    <row r="234" spans="1:21" ht="18.75" x14ac:dyDescent="0.25">
      <c r="A234" s="126"/>
      <c r="B234" s="156"/>
      <c r="C234" s="37"/>
      <c r="D234" s="44" t="s">
        <v>86</v>
      </c>
      <c r="E234" s="37"/>
      <c r="F234" s="37"/>
      <c r="G234" s="39"/>
      <c r="H234" s="132" t="s">
        <v>14</v>
      </c>
      <c r="I234" s="133"/>
      <c r="J234" s="133"/>
      <c r="K234" s="134"/>
      <c r="L234" s="43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669300)</f>
        <v>669300</v>
      </c>
      <c r="M234" s="43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4" s="43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0)</f>
        <v>0</v>
      </c>
      <c r="O234" s="42"/>
      <c r="P234" s="42"/>
      <c r="Q234" s="42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4" s="42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4" s="42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4" s="42"/>
      <c r="U234" s="42"/>
    </row>
    <row r="235" spans="1:21" ht="18.75" x14ac:dyDescent="0.25">
      <c r="A235" s="214"/>
      <c r="B235" s="156"/>
      <c r="C235" s="156"/>
      <c r="D235" s="44" t="s">
        <v>88</v>
      </c>
      <c r="E235" s="37"/>
      <c r="F235" s="37"/>
      <c r="G235" s="39"/>
      <c r="H235" s="132" t="s">
        <v>14</v>
      </c>
      <c r="I235" s="41"/>
      <c r="J235" s="41"/>
      <c r="K235" s="42"/>
      <c r="L235" s="43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17000)</f>
        <v>17000</v>
      </c>
      <c r="M235" s="43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5" s="43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0)</f>
        <v>0</v>
      </c>
      <c r="O235" s="42"/>
      <c r="P235" s="42"/>
      <c r="Q235" s="42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5" s="42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5" s="42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5" s="42"/>
      <c r="U235" s="42"/>
    </row>
    <row r="236" spans="1:21" ht="18.75" x14ac:dyDescent="0.25">
      <c r="A236" s="214"/>
      <c r="B236" s="156"/>
      <c r="C236" s="156"/>
      <c r="D236" s="44" t="s">
        <v>106</v>
      </c>
      <c r="E236" s="37"/>
      <c r="F236" s="37"/>
      <c r="G236" s="39"/>
      <c r="H236" s="132" t="s">
        <v>14</v>
      </c>
      <c r="I236" s="41"/>
      <c r="J236" s="41"/>
      <c r="K236" s="42"/>
      <c r="L236" s="43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329400)</f>
        <v>329400</v>
      </c>
      <c r="M236" s="43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6" s="43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0)</f>
        <v>0</v>
      </c>
      <c r="O236" s="42"/>
      <c r="P236" s="42"/>
      <c r="Q236" s="42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0)</f>
        <v>0</v>
      </c>
      <c r="R236" s="42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6" s="42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0)</f>
        <v>0</v>
      </c>
      <c r="T236" s="42"/>
      <c r="U236" s="42"/>
    </row>
    <row r="237" spans="1:21" ht="18.75" x14ac:dyDescent="0.25">
      <c r="A237" s="214"/>
      <c r="B237" s="156"/>
      <c r="C237" s="156"/>
      <c r="D237" s="44" t="s">
        <v>107</v>
      </c>
      <c r="E237" s="37"/>
      <c r="F237" s="37"/>
      <c r="G237" s="39"/>
      <c r="H237" s="132" t="s">
        <v>14</v>
      </c>
      <c r="I237" s="41"/>
      <c r="J237" s="41"/>
      <c r="K237" s="42"/>
      <c r="L237" s="43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267000)</f>
        <v>267000</v>
      </c>
      <c r="M237" s="43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7" s="43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0)</f>
        <v>0</v>
      </c>
      <c r="O237" s="42"/>
      <c r="P237" s="42"/>
      <c r="Q237" s="42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7" s="42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7" s="42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7" s="42"/>
      <c r="U237" s="42"/>
    </row>
    <row r="238" spans="1:21" ht="19.5" x14ac:dyDescent="0.3">
      <c r="A238" s="136"/>
      <c r="B238" s="137"/>
      <c r="C238" s="159" t="s">
        <v>18</v>
      </c>
      <c r="D238" s="138" t="s">
        <v>38</v>
      </c>
      <c r="E238" s="139"/>
      <c r="F238" s="139"/>
      <c r="G238" s="140"/>
      <c r="H238" s="141"/>
      <c r="I238" s="133"/>
      <c r="J238" s="41"/>
      <c r="K238" s="42"/>
      <c r="L238" s="42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x14ac:dyDescent="0.25">
      <c r="A239" s="136"/>
      <c r="B239" s="137"/>
      <c r="C239" s="137"/>
      <c r="D239" s="164" t="s">
        <v>108</v>
      </c>
      <c r="E239" s="143"/>
      <c r="F239" s="143"/>
      <c r="G239" s="141"/>
      <c r="H239" s="148" t="s">
        <v>35</v>
      </c>
      <c r="I239" s="165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210)</f>
        <v>210</v>
      </c>
      <c r="J239" s="165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10)</f>
        <v>10</v>
      </c>
      <c r="K239" s="43">
        <f ca="1">IF(I239&gt;0,J239*100/I239,0)</f>
        <v>4.7619047619047619</v>
      </c>
      <c r="L239" s="42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x14ac:dyDescent="0.25">
      <c r="A240" s="136"/>
      <c r="B240" s="137"/>
      <c r="C240" s="137"/>
      <c r="D240" s="240" t="s">
        <v>43</v>
      </c>
      <c r="E240" s="143"/>
      <c r="F240" s="143"/>
      <c r="G240" s="141"/>
      <c r="H240" s="141"/>
      <c r="I240" s="41"/>
      <c r="J240" s="41"/>
      <c r="K240" s="42"/>
      <c r="L240" s="42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x14ac:dyDescent="0.25">
      <c r="A241" s="136"/>
      <c r="B241" s="137"/>
      <c r="C241" s="137"/>
      <c r="D241" s="137"/>
      <c r="E241" s="142" t="s">
        <v>109</v>
      </c>
      <c r="F241" s="143"/>
      <c r="G241" s="141"/>
      <c r="H241" s="148" t="s">
        <v>35</v>
      </c>
      <c r="I241" s="189">
        <v>0</v>
      </c>
      <c r="J241" s="165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0)</f>
        <v>0</v>
      </c>
      <c r="K241" s="43">
        <f t="shared" ref="K241:K242" si="187">IF(I241&gt;0,J241*100/I241,0)</f>
        <v>0</v>
      </c>
      <c r="L241" s="42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x14ac:dyDescent="0.25">
      <c r="A242" s="136"/>
      <c r="B242" s="137"/>
      <c r="C242" s="137"/>
      <c r="D242" s="137"/>
      <c r="E242" s="142" t="s">
        <v>110</v>
      </c>
      <c r="F242" s="143"/>
      <c r="G242" s="141"/>
      <c r="H242" s="148" t="s">
        <v>61</v>
      </c>
      <c r="I242" s="189">
        <v>0</v>
      </c>
      <c r="J242" s="165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0)</f>
        <v>0</v>
      </c>
      <c r="K242" s="43">
        <f t="shared" si="187"/>
        <v>0</v>
      </c>
      <c r="L242" s="42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33"/>
      <c r="B243" s="234"/>
      <c r="C243" s="241" t="s">
        <v>111</v>
      </c>
      <c r="D243" s="235"/>
      <c r="E243" s="235"/>
      <c r="F243" s="235"/>
      <c r="G243" s="236"/>
      <c r="H243" s="242" t="s">
        <v>35</v>
      </c>
      <c r="I243" s="238"/>
      <c r="J243" s="238"/>
      <c r="K243" s="239"/>
      <c r="L243" s="239"/>
      <c r="M243" s="239"/>
      <c r="N243" s="239"/>
      <c r="O243" s="239"/>
      <c r="P243" s="239"/>
      <c r="Q243" s="225"/>
      <c r="R243" s="225"/>
      <c r="S243" s="225"/>
      <c r="T243" s="225"/>
      <c r="U243" s="225"/>
    </row>
    <row r="244" spans="1:21" ht="19.5" hidden="1" x14ac:dyDescent="0.3">
      <c r="A244" s="243"/>
      <c r="B244" s="235"/>
      <c r="C244" s="244" t="s">
        <v>18</v>
      </c>
      <c r="D244" s="245" t="s">
        <v>19</v>
      </c>
      <c r="E244" s="235"/>
      <c r="F244" s="235"/>
      <c r="G244" s="236"/>
      <c r="H244" s="246" t="s">
        <v>14</v>
      </c>
      <c r="I244" s="238"/>
      <c r="J244" s="238"/>
      <c r="K244" s="239"/>
      <c r="L244" s="239"/>
      <c r="M244" s="239"/>
      <c r="N244" s="239"/>
      <c r="O244" s="239"/>
      <c r="P244" s="239"/>
      <c r="Q244" s="42"/>
      <c r="R244" s="42"/>
      <c r="S244" s="42"/>
      <c r="T244" s="42"/>
      <c r="U244" s="42"/>
    </row>
    <row r="245" spans="1:21" ht="18.75" hidden="1" x14ac:dyDescent="0.25">
      <c r="A245" s="243"/>
      <c r="B245" s="234"/>
      <c r="C245" s="235"/>
      <c r="D245" s="247" t="s">
        <v>86</v>
      </c>
      <c r="E245" s="235"/>
      <c r="F245" s="235"/>
      <c r="G245" s="236"/>
      <c r="H245" s="248" t="s">
        <v>14</v>
      </c>
      <c r="I245" s="238"/>
      <c r="J245" s="238"/>
      <c r="K245" s="239"/>
      <c r="L245" s="239"/>
      <c r="M245" s="239"/>
      <c r="N245" s="239"/>
      <c r="O245" s="239"/>
      <c r="P245" s="239"/>
      <c r="Q245" s="42"/>
      <c r="R245" s="42"/>
      <c r="S245" s="42"/>
      <c r="T245" s="42"/>
      <c r="U245" s="42"/>
    </row>
    <row r="246" spans="1:21" ht="18.75" hidden="1" x14ac:dyDescent="0.25">
      <c r="A246" s="233"/>
      <c r="B246" s="234"/>
      <c r="C246" s="234"/>
      <c r="D246" s="247" t="s">
        <v>88</v>
      </c>
      <c r="E246" s="235"/>
      <c r="F246" s="235"/>
      <c r="G246" s="236"/>
      <c r="H246" s="248" t="s">
        <v>14</v>
      </c>
      <c r="I246" s="238"/>
      <c r="J246" s="238"/>
      <c r="K246" s="239"/>
      <c r="L246" s="239"/>
      <c r="M246" s="239"/>
      <c r="N246" s="239"/>
      <c r="O246" s="239"/>
      <c r="P246" s="239"/>
      <c r="Q246" s="42"/>
      <c r="R246" s="42"/>
      <c r="S246" s="42"/>
      <c r="T246" s="42"/>
      <c r="U246" s="42"/>
    </row>
    <row r="247" spans="1:21" ht="18.75" hidden="1" x14ac:dyDescent="0.25">
      <c r="A247" s="233"/>
      <c r="B247" s="234"/>
      <c r="C247" s="234"/>
      <c r="D247" s="247" t="s">
        <v>106</v>
      </c>
      <c r="E247" s="235"/>
      <c r="F247" s="235"/>
      <c r="G247" s="236"/>
      <c r="H247" s="248" t="s">
        <v>14</v>
      </c>
      <c r="I247" s="238"/>
      <c r="J247" s="238"/>
      <c r="K247" s="239"/>
      <c r="L247" s="239"/>
      <c r="M247" s="239"/>
      <c r="N247" s="239"/>
      <c r="O247" s="239"/>
      <c r="P247" s="239"/>
      <c r="Q247" s="42"/>
      <c r="R247" s="42"/>
      <c r="S247" s="42"/>
      <c r="T247" s="42"/>
      <c r="U247" s="42"/>
    </row>
    <row r="248" spans="1:21" ht="18.75" hidden="1" x14ac:dyDescent="0.25">
      <c r="A248" s="233"/>
      <c r="B248" s="234"/>
      <c r="C248" s="234"/>
      <c r="D248" s="247" t="s">
        <v>107</v>
      </c>
      <c r="E248" s="235"/>
      <c r="F248" s="235"/>
      <c r="G248" s="236"/>
      <c r="H248" s="248" t="s">
        <v>14</v>
      </c>
      <c r="I248" s="238"/>
      <c r="J248" s="238"/>
      <c r="K248" s="239"/>
      <c r="L248" s="239"/>
      <c r="M248" s="239"/>
      <c r="N248" s="239"/>
      <c r="O248" s="239"/>
      <c r="P248" s="239"/>
      <c r="Q248" s="42"/>
      <c r="R248" s="42"/>
      <c r="S248" s="42"/>
      <c r="T248" s="42"/>
      <c r="U248" s="42"/>
    </row>
    <row r="249" spans="1:21" ht="19.5" hidden="1" x14ac:dyDescent="0.3">
      <c r="A249" s="233"/>
      <c r="B249" s="234"/>
      <c r="C249" s="249" t="s">
        <v>18</v>
      </c>
      <c r="D249" s="250" t="s">
        <v>38</v>
      </c>
      <c r="E249" s="235"/>
      <c r="F249" s="235"/>
      <c r="G249" s="236"/>
      <c r="H249" s="236"/>
      <c r="I249" s="238"/>
      <c r="J249" s="238"/>
      <c r="K249" s="239"/>
      <c r="L249" s="239"/>
      <c r="M249" s="239"/>
      <c r="N249" s="239"/>
      <c r="O249" s="239"/>
      <c r="P249" s="239"/>
      <c r="Q249" s="42"/>
      <c r="R249" s="42"/>
      <c r="S249" s="42"/>
      <c r="T249" s="134"/>
      <c r="U249" s="134"/>
    </row>
    <row r="250" spans="1:21" ht="18.75" hidden="1" x14ac:dyDescent="0.25">
      <c r="A250" s="233"/>
      <c r="B250" s="234"/>
      <c r="C250" s="234"/>
      <c r="D250" s="247" t="s">
        <v>108</v>
      </c>
      <c r="E250" s="235"/>
      <c r="F250" s="235"/>
      <c r="G250" s="236"/>
      <c r="H250" s="251" t="s">
        <v>35</v>
      </c>
      <c r="I250" s="238"/>
      <c r="J250" s="238"/>
      <c r="K250" s="239"/>
      <c r="L250" s="239"/>
      <c r="M250" s="239"/>
      <c r="N250" s="239"/>
      <c r="O250" s="239"/>
      <c r="P250" s="239"/>
      <c r="Q250" s="42"/>
      <c r="R250" s="42"/>
      <c r="S250" s="42"/>
      <c r="T250" s="42"/>
      <c r="U250" s="42"/>
    </row>
    <row r="251" spans="1:21" ht="18.75" hidden="1" x14ac:dyDescent="0.25">
      <c r="A251" s="233"/>
      <c r="B251" s="234"/>
      <c r="C251" s="234"/>
      <c r="D251" s="252" t="s">
        <v>43</v>
      </c>
      <c r="E251" s="235"/>
      <c r="F251" s="235"/>
      <c r="G251" s="236"/>
      <c r="H251" s="236"/>
      <c r="I251" s="238"/>
      <c r="J251" s="238"/>
      <c r="K251" s="239"/>
      <c r="L251" s="239"/>
      <c r="M251" s="239"/>
      <c r="N251" s="239"/>
      <c r="O251" s="239"/>
      <c r="P251" s="239"/>
      <c r="Q251" s="42"/>
      <c r="R251" s="42"/>
      <c r="S251" s="42"/>
      <c r="T251" s="134"/>
      <c r="U251" s="134"/>
    </row>
    <row r="252" spans="1:21" ht="18.75" hidden="1" x14ac:dyDescent="0.25">
      <c r="A252" s="233"/>
      <c r="B252" s="234"/>
      <c r="C252" s="234"/>
      <c r="D252" s="234"/>
      <c r="E252" s="253" t="s">
        <v>109</v>
      </c>
      <c r="F252" s="235"/>
      <c r="G252" s="236"/>
      <c r="H252" s="251" t="s">
        <v>35</v>
      </c>
      <c r="I252" s="238"/>
      <c r="J252" s="238"/>
      <c r="K252" s="239"/>
      <c r="L252" s="239"/>
      <c r="M252" s="239"/>
      <c r="N252" s="239"/>
      <c r="O252" s="239"/>
      <c r="P252" s="239"/>
      <c r="Q252" s="42"/>
      <c r="R252" s="42"/>
      <c r="S252" s="42"/>
      <c r="T252" s="42"/>
      <c r="U252" s="42"/>
    </row>
    <row r="253" spans="1:21" ht="18.75" hidden="1" x14ac:dyDescent="0.25">
      <c r="A253" s="233"/>
      <c r="B253" s="234"/>
      <c r="C253" s="234"/>
      <c r="D253" s="234"/>
      <c r="E253" s="253" t="s">
        <v>110</v>
      </c>
      <c r="F253" s="235"/>
      <c r="G253" s="236"/>
      <c r="H253" s="251" t="s">
        <v>61</v>
      </c>
      <c r="I253" s="238"/>
      <c r="J253" s="238"/>
      <c r="K253" s="239"/>
      <c r="L253" s="239"/>
      <c r="M253" s="239"/>
      <c r="N253" s="239"/>
      <c r="O253" s="239"/>
      <c r="P253" s="239"/>
      <c r="Q253" s="42"/>
      <c r="R253" s="42"/>
      <c r="S253" s="42"/>
      <c r="T253" s="42"/>
      <c r="U253" s="42"/>
    </row>
    <row r="254" spans="1:21" ht="19.5" hidden="1" x14ac:dyDescent="0.3">
      <c r="A254" s="233"/>
      <c r="B254" s="234"/>
      <c r="C254" s="241" t="s">
        <v>112</v>
      </c>
      <c r="D254" s="235"/>
      <c r="E254" s="235"/>
      <c r="F254" s="235"/>
      <c r="G254" s="236"/>
      <c r="H254" s="242" t="s">
        <v>35</v>
      </c>
      <c r="I254" s="238"/>
      <c r="J254" s="238"/>
      <c r="K254" s="239"/>
      <c r="L254" s="239"/>
      <c r="M254" s="239"/>
      <c r="N254" s="239"/>
      <c r="O254" s="239"/>
      <c r="P254" s="239"/>
      <c r="Q254" s="225"/>
      <c r="R254" s="225"/>
      <c r="S254" s="225"/>
      <c r="T254" s="225"/>
      <c r="U254" s="225"/>
    </row>
    <row r="255" spans="1:21" ht="19.5" hidden="1" x14ac:dyDescent="0.3">
      <c r="A255" s="243"/>
      <c r="B255" s="235"/>
      <c r="C255" s="244" t="s">
        <v>18</v>
      </c>
      <c r="D255" s="250" t="s">
        <v>19</v>
      </c>
      <c r="E255" s="235"/>
      <c r="F255" s="235"/>
      <c r="G255" s="236"/>
      <c r="H255" s="246" t="s">
        <v>14</v>
      </c>
      <c r="I255" s="238"/>
      <c r="J255" s="238"/>
      <c r="K255" s="239"/>
      <c r="L255" s="239"/>
      <c r="M255" s="239"/>
      <c r="N255" s="239"/>
      <c r="O255" s="239"/>
      <c r="P255" s="239"/>
      <c r="Q255" s="42"/>
      <c r="R255" s="42"/>
      <c r="S255" s="42"/>
      <c r="T255" s="42"/>
      <c r="U255" s="42"/>
    </row>
    <row r="256" spans="1:21" ht="18.75" hidden="1" x14ac:dyDescent="0.25">
      <c r="A256" s="243"/>
      <c r="B256" s="234"/>
      <c r="C256" s="235"/>
      <c r="D256" s="247" t="s">
        <v>86</v>
      </c>
      <c r="E256" s="235"/>
      <c r="F256" s="235"/>
      <c r="G256" s="236"/>
      <c r="H256" s="248" t="s">
        <v>14</v>
      </c>
      <c r="I256" s="238"/>
      <c r="J256" s="238"/>
      <c r="K256" s="239"/>
      <c r="L256" s="239"/>
      <c r="M256" s="239"/>
      <c r="N256" s="239"/>
      <c r="O256" s="239"/>
      <c r="P256" s="239"/>
      <c r="Q256" s="42"/>
      <c r="R256" s="42"/>
      <c r="S256" s="42"/>
      <c r="T256" s="42"/>
      <c r="U256" s="42"/>
    </row>
    <row r="257" spans="1:21" ht="18.75" hidden="1" x14ac:dyDescent="0.25">
      <c r="A257" s="233"/>
      <c r="B257" s="234"/>
      <c r="C257" s="234"/>
      <c r="D257" s="247" t="s">
        <v>88</v>
      </c>
      <c r="E257" s="235"/>
      <c r="F257" s="235"/>
      <c r="G257" s="236"/>
      <c r="H257" s="248" t="s">
        <v>14</v>
      </c>
      <c r="I257" s="238"/>
      <c r="J257" s="238"/>
      <c r="K257" s="239"/>
      <c r="L257" s="239"/>
      <c r="M257" s="239"/>
      <c r="N257" s="239"/>
      <c r="O257" s="239"/>
      <c r="P257" s="239"/>
      <c r="Q257" s="42"/>
      <c r="R257" s="42"/>
      <c r="S257" s="42"/>
      <c r="T257" s="42"/>
      <c r="U257" s="42"/>
    </row>
    <row r="258" spans="1:21" ht="18.75" hidden="1" x14ac:dyDescent="0.25">
      <c r="A258" s="233"/>
      <c r="B258" s="234"/>
      <c r="C258" s="234"/>
      <c r="D258" s="247" t="s">
        <v>106</v>
      </c>
      <c r="E258" s="235"/>
      <c r="F258" s="235"/>
      <c r="G258" s="236"/>
      <c r="H258" s="248" t="s">
        <v>14</v>
      </c>
      <c r="I258" s="238"/>
      <c r="J258" s="238"/>
      <c r="K258" s="239"/>
      <c r="L258" s="239"/>
      <c r="M258" s="239"/>
      <c r="N258" s="239"/>
      <c r="O258" s="239"/>
      <c r="P258" s="239"/>
      <c r="Q258" s="42"/>
      <c r="R258" s="42"/>
      <c r="S258" s="42"/>
      <c r="T258" s="42"/>
      <c r="U258" s="42"/>
    </row>
    <row r="259" spans="1:21" ht="18.75" hidden="1" x14ac:dyDescent="0.25">
      <c r="A259" s="233"/>
      <c r="B259" s="234"/>
      <c r="C259" s="234"/>
      <c r="D259" s="247" t="s">
        <v>107</v>
      </c>
      <c r="E259" s="235"/>
      <c r="F259" s="235"/>
      <c r="G259" s="236"/>
      <c r="H259" s="248" t="s">
        <v>14</v>
      </c>
      <c r="I259" s="238"/>
      <c r="J259" s="238"/>
      <c r="K259" s="239"/>
      <c r="L259" s="239"/>
      <c r="M259" s="239"/>
      <c r="N259" s="239"/>
      <c r="O259" s="239"/>
      <c r="P259" s="239"/>
      <c r="Q259" s="42"/>
      <c r="R259" s="42"/>
      <c r="S259" s="42"/>
      <c r="T259" s="42"/>
      <c r="U259" s="42"/>
    </row>
    <row r="260" spans="1:21" ht="19.5" hidden="1" x14ac:dyDescent="0.3">
      <c r="A260" s="233"/>
      <c r="B260" s="234"/>
      <c r="C260" s="249" t="s">
        <v>18</v>
      </c>
      <c r="D260" s="250" t="s">
        <v>38</v>
      </c>
      <c r="E260" s="235"/>
      <c r="F260" s="235"/>
      <c r="G260" s="236"/>
      <c r="H260" s="236"/>
      <c r="I260" s="238"/>
      <c r="J260" s="238"/>
      <c r="K260" s="239"/>
      <c r="L260" s="239"/>
      <c r="M260" s="239"/>
      <c r="N260" s="239"/>
      <c r="O260" s="239"/>
      <c r="P260" s="239"/>
      <c r="Q260" s="42"/>
      <c r="R260" s="42"/>
      <c r="S260" s="42"/>
      <c r="T260" s="134"/>
      <c r="U260" s="134"/>
    </row>
    <row r="261" spans="1:21" ht="18.75" hidden="1" x14ac:dyDescent="0.25">
      <c r="A261" s="233"/>
      <c r="B261" s="234"/>
      <c r="C261" s="234"/>
      <c r="D261" s="247" t="s">
        <v>108</v>
      </c>
      <c r="E261" s="235"/>
      <c r="F261" s="235"/>
      <c r="G261" s="236"/>
      <c r="H261" s="251" t="s">
        <v>35</v>
      </c>
      <c r="I261" s="238"/>
      <c r="J261" s="238"/>
      <c r="K261" s="239"/>
      <c r="L261" s="239"/>
      <c r="M261" s="239"/>
      <c r="N261" s="239"/>
      <c r="O261" s="239"/>
      <c r="P261" s="239"/>
      <c r="Q261" s="42"/>
      <c r="R261" s="42"/>
      <c r="S261" s="42"/>
      <c r="T261" s="42"/>
      <c r="U261" s="42"/>
    </row>
    <row r="262" spans="1:21" ht="18.75" hidden="1" x14ac:dyDescent="0.25">
      <c r="A262" s="233"/>
      <c r="B262" s="234"/>
      <c r="C262" s="234"/>
      <c r="D262" s="252" t="s">
        <v>43</v>
      </c>
      <c r="E262" s="235"/>
      <c r="F262" s="235"/>
      <c r="G262" s="236"/>
      <c r="H262" s="236"/>
      <c r="I262" s="238"/>
      <c r="J262" s="238"/>
      <c r="K262" s="239"/>
      <c r="L262" s="239"/>
      <c r="M262" s="239"/>
      <c r="N262" s="239"/>
      <c r="O262" s="239"/>
      <c r="P262" s="239"/>
      <c r="Q262" s="42"/>
      <c r="R262" s="42"/>
      <c r="S262" s="42"/>
      <c r="T262" s="134"/>
      <c r="U262" s="134"/>
    </row>
    <row r="263" spans="1:21" ht="18.75" hidden="1" x14ac:dyDescent="0.25">
      <c r="A263" s="233"/>
      <c r="B263" s="234"/>
      <c r="C263" s="234"/>
      <c r="D263" s="234"/>
      <c r="E263" s="253" t="s">
        <v>109</v>
      </c>
      <c r="F263" s="235"/>
      <c r="G263" s="236"/>
      <c r="H263" s="251" t="s">
        <v>35</v>
      </c>
      <c r="I263" s="238"/>
      <c r="J263" s="238"/>
      <c r="K263" s="239"/>
      <c r="L263" s="239"/>
      <c r="M263" s="239"/>
      <c r="N263" s="239"/>
      <c r="O263" s="239"/>
      <c r="P263" s="239"/>
      <c r="Q263" s="42"/>
      <c r="R263" s="42"/>
      <c r="S263" s="42"/>
      <c r="T263" s="42"/>
      <c r="U263" s="42"/>
    </row>
    <row r="264" spans="1:21" ht="18.75" hidden="1" x14ac:dyDescent="0.25">
      <c r="A264" s="233"/>
      <c r="B264" s="234"/>
      <c r="C264" s="234"/>
      <c r="D264" s="234"/>
      <c r="E264" s="253" t="s">
        <v>110</v>
      </c>
      <c r="F264" s="235"/>
      <c r="G264" s="236"/>
      <c r="H264" s="251" t="s">
        <v>61</v>
      </c>
      <c r="I264" s="238"/>
      <c r="J264" s="238"/>
      <c r="K264" s="239"/>
      <c r="L264" s="239"/>
      <c r="M264" s="239"/>
      <c r="N264" s="239"/>
      <c r="O264" s="239"/>
      <c r="P264" s="239"/>
      <c r="Q264" s="42"/>
      <c r="R264" s="42"/>
      <c r="S264" s="42"/>
      <c r="T264" s="42"/>
      <c r="U264" s="42"/>
    </row>
    <row r="265" spans="1:21" ht="19.5" x14ac:dyDescent="0.3">
      <c r="A265" s="201" t="s">
        <v>113</v>
      </c>
      <c r="B265" s="202"/>
      <c r="C265" s="202"/>
      <c r="D265" s="203"/>
      <c r="E265" s="203"/>
      <c r="F265" s="203"/>
      <c r="G265" s="204"/>
      <c r="H265" s="204"/>
      <c r="I265" s="205"/>
      <c r="J265" s="205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</row>
    <row r="266" spans="1:21" ht="19.5" x14ac:dyDescent="0.3">
      <c r="A266" s="207"/>
      <c r="B266" s="208" t="s">
        <v>114</v>
      </c>
      <c r="C266" s="209"/>
      <c r="D266" s="139"/>
      <c r="E266" s="139"/>
      <c r="F266" s="139"/>
      <c r="G266" s="140"/>
      <c r="H266" s="210" t="s">
        <v>35</v>
      </c>
      <c r="I266" s="211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6" s="211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0)</f>
        <v>0</v>
      </c>
      <c r="K266" s="212">
        <f ca="1">IF(I266&gt;0,J266*100/I266,0)</f>
        <v>0</v>
      </c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</row>
    <row r="267" spans="1:21" ht="19.5" x14ac:dyDescent="0.3">
      <c r="A267" s="126"/>
      <c r="B267" s="37"/>
      <c r="C267" s="127" t="s">
        <v>18</v>
      </c>
      <c r="D267" s="128" t="s">
        <v>19</v>
      </c>
      <c r="E267" s="37"/>
      <c r="F267" s="37"/>
      <c r="G267" s="39"/>
      <c r="H267" s="129" t="s">
        <v>14</v>
      </c>
      <c r="I267" s="41"/>
      <c r="J267" s="41"/>
      <c r="K267" s="42"/>
      <c r="L267" s="130">
        <f t="shared" ref="L267:N267" ca="1" si="188">L268+L269</f>
        <v>0</v>
      </c>
      <c r="M267" s="130">
        <f t="shared" ca="1" si="188"/>
        <v>85000</v>
      </c>
      <c r="N267" s="130">
        <f t="shared" ca="1" si="188"/>
        <v>0</v>
      </c>
      <c r="O267" s="130">
        <f t="shared" ref="O267:O275" ca="1" si="189">IF(L267&gt;0,N267*100/L267,0)</f>
        <v>0</v>
      </c>
      <c r="P267" s="130">
        <f t="shared" ref="P267:P275" ca="1" si="190">IF(M267&gt;0,N267*100/M267,0)</f>
        <v>0</v>
      </c>
      <c r="Q267" s="130">
        <f t="shared" ref="Q267:S267" ca="1" si="191">Q268+Q269</f>
        <v>875120</v>
      </c>
      <c r="R267" s="130">
        <f t="shared" ca="1" si="191"/>
        <v>875120</v>
      </c>
      <c r="S267" s="130">
        <f t="shared" ca="1" si="191"/>
        <v>0</v>
      </c>
      <c r="T267" s="130">
        <f t="shared" ref="T267:T275" ca="1" si="192">IF(Q267&gt;0,S267*100/Q267,0)</f>
        <v>0</v>
      </c>
      <c r="U267" s="130">
        <f t="shared" ref="U267:U275" ca="1" si="193">IF(R267&gt;0,S267*100/R267,0)</f>
        <v>0</v>
      </c>
    </row>
    <row r="268" spans="1:21" ht="18.75" x14ac:dyDescent="0.25">
      <c r="A268" s="126"/>
      <c r="B268" s="37"/>
      <c r="C268" s="37"/>
      <c r="D268" s="37"/>
      <c r="E268" s="44" t="s">
        <v>20</v>
      </c>
      <c r="F268" s="37"/>
      <c r="G268" s="39"/>
      <c r="H268" s="131" t="s">
        <v>14</v>
      </c>
      <c r="I268" s="41"/>
      <c r="J268" s="41"/>
      <c r="K268" s="42"/>
      <c r="L268" s="43">
        <f t="shared" ref="L268:N268" ca="1" si="194">L271+L274</f>
        <v>0</v>
      </c>
      <c r="M268" s="43">
        <f t="shared" ca="1" si="194"/>
        <v>0</v>
      </c>
      <c r="N268" s="43">
        <f t="shared" ca="1" si="194"/>
        <v>0</v>
      </c>
      <c r="O268" s="43">
        <f t="shared" ca="1" si="189"/>
        <v>0</v>
      </c>
      <c r="P268" s="43">
        <f t="shared" ca="1" si="190"/>
        <v>0</v>
      </c>
      <c r="Q268" s="45">
        <f t="shared" ref="Q268:S268" ca="1" si="195">Q271+Q274</f>
        <v>0</v>
      </c>
      <c r="R268" s="45">
        <f t="shared" ca="1" si="195"/>
        <v>0</v>
      </c>
      <c r="S268" s="45">
        <f t="shared" ca="1" si="195"/>
        <v>0</v>
      </c>
      <c r="T268" s="45">
        <f t="shared" ca="1" si="192"/>
        <v>0</v>
      </c>
      <c r="U268" s="45">
        <f t="shared" ca="1" si="193"/>
        <v>0</v>
      </c>
    </row>
    <row r="269" spans="1:21" ht="18.75" x14ac:dyDescent="0.25">
      <c r="A269" s="126"/>
      <c r="B269" s="37"/>
      <c r="C269" s="37"/>
      <c r="D269" s="37"/>
      <c r="E269" s="44" t="s">
        <v>21</v>
      </c>
      <c r="F269" s="37"/>
      <c r="G269" s="39"/>
      <c r="H269" s="131" t="s">
        <v>14</v>
      </c>
      <c r="I269" s="41"/>
      <c r="J269" s="41"/>
      <c r="K269" s="42"/>
      <c r="L269" s="43">
        <f t="shared" ref="L269:N269" ca="1" si="196">L272+L275</f>
        <v>0</v>
      </c>
      <c r="M269" s="43">
        <f t="shared" ca="1" si="196"/>
        <v>85000</v>
      </c>
      <c r="N269" s="43">
        <f t="shared" ca="1" si="196"/>
        <v>0</v>
      </c>
      <c r="O269" s="43">
        <f t="shared" ca="1" si="189"/>
        <v>0</v>
      </c>
      <c r="P269" s="43">
        <f t="shared" ca="1" si="190"/>
        <v>0</v>
      </c>
      <c r="Q269" s="43">
        <f t="shared" ref="Q269:S269" ca="1" si="197">Q272+Q275</f>
        <v>875120</v>
      </c>
      <c r="R269" s="43">
        <f t="shared" ca="1" si="197"/>
        <v>875120</v>
      </c>
      <c r="S269" s="43">
        <f t="shared" ca="1" si="197"/>
        <v>0</v>
      </c>
      <c r="T269" s="43">
        <f t="shared" ca="1" si="192"/>
        <v>0</v>
      </c>
      <c r="U269" s="43">
        <f t="shared" ca="1" si="193"/>
        <v>0</v>
      </c>
    </row>
    <row r="270" spans="1:21" ht="18.75" x14ac:dyDescent="0.25">
      <c r="A270" s="126"/>
      <c r="B270" s="37"/>
      <c r="C270" s="37"/>
      <c r="D270" s="38" t="s">
        <v>22</v>
      </c>
      <c r="E270" s="37"/>
      <c r="F270" s="37"/>
      <c r="G270" s="39"/>
      <c r="H270" s="132" t="s">
        <v>14</v>
      </c>
      <c r="I270" s="133"/>
      <c r="J270" s="133"/>
      <c r="K270" s="134"/>
      <c r="L270" s="43">
        <f t="shared" ref="L270:N270" ca="1" si="198">L271+L272</f>
        <v>0</v>
      </c>
      <c r="M270" s="43">
        <f t="shared" ca="1" si="198"/>
        <v>85000</v>
      </c>
      <c r="N270" s="43">
        <f t="shared" ca="1" si="198"/>
        <v>0</v>
      </c>
      <c r="O270" s="43">
        <f t="shared" ca="1" si="189"/>
        <v>0</v>
      </c>
      <c r="P270" s="43">
        <f t="shared" ca="1" si="190"/>
        <v>0</v>
      </c>
      <c r="Q270" s="43">
        <f t="shared" ref="Q270:S270" ca="1" si="199">Q271+Q272</f>
        <v>875120</v>
      </c>
      <c r="R270" s="43">
        <f t="shared" ca="1" si="199"/>
        <v>875120</v>
      </c>
      <c r="S270" s="43">
        <f t="shared" ca="1" si="199"/>
        <v>0</v>
      </c>
      <c r="T270" s="43">
        <f t="shared" ca="1" si="192"/>
        <v>0</v>
      </c>
      <c r="U270" s="43">
        <f t="shared" ca="1" si="193"/>
        <v>0</v>
      </c>
    </row>
    <row r="271" spans="1:21" ht="18.75" x14ac:dyDescent="0.25">
      <c r="A271" s="126"/>
      <c r="B271" s="37"/>
      <c r="C271" s="37"/>
      <c r="D271" s="37"/>
      <c r="E271" s="44" t="s">
        <v>36</v>
      </c>
      <c r="F271" s="37"/>
      <c r="G271" s="39"/>
      <c r="H271" s="132" t="s">
        <v>14</v>
      </c>
      <c r="I271" s="133"/>
      <c r="J271" s="133"/>
      <c r="K271" s="134"/>
      <c r="L271" s="43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1" s="43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1" s="43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1" s="43">
        <f t="shared" ca="1" si="189"/>
        <v>0</v>
      </c>
      <c r="P271" s="43">
        <f t="shared" ca="1" si="190"/>
        <v>0</v>
      </c>
      <c r="Q271" s="45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1" s="45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1" s="45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1" s="45">
        <f t="shared" ca="1" si="192"/>
        <v>0</v>
      </c>
      <c r="U271" s="45">
        <f t="shared" ca="1" si="193"/>
        <v>0</v>
      </c>
    </row>
    <row r="272" spans="1:21" ht="18.75" x14ac:dyDescent="0.25">
      <c r="A272" s="126"/>
      <c r="B272" s="37"/>
      <c r="C272" s="37"/>
      <c r="D272" s="37"/>
      <c r="E272" s="44" t="s">
        <v>37</v>
      </c>
      <c r="F272" s="37"/>
      <c r="G272" s="39"/>
      <c r="H272" s="132" t="s">
        <v>14</v>
      </c>
      <c r="I272" s="133"/>
      <c r="J272" s="133"/>
      <c r="K272" s="134"/>
      <c r="L272" s="43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0)</f>
        <v>0</v>
      </c>
      <c r="M272" s="43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85000)</f>
        <v>85000</v>
      </c>
      <c r="N272" s="43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0)</f>
        <v>0</v>
      </c>
      <c r="O272" s="43">
        <f t="shared" ca="1" si="189"/>
        <v>0</v>
      </c>
      <c r="P272" s="43">
        <f t="shared" ca="1" si="190"/>
        <v>0</v>
      </c>
      <c r="Q272" s="43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2" s="43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2" s="43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0)</f>
        <v>0</v>
      </c>
      <c r="T272" s="43">
        <f t="shared" ca="1" si="192"/>
        <v>0</v>
      </c>
      <c r="U272" s="43">
        <f t="shared" ca="1" si="193"/>
        <v>0</v>
      </c>
    </row>
    <row r="273" spans="1:21" ht="18.75" x14ac:dyDescent="0.25">
      <c r="A273" s="126"/>
      <c r="B273" s="37"/>
      <c r="C273" s="37"/>
      <c r="D273" s="38" t="s">
        <v>23</v>
      </c>
      <c r="E273" s="37"/>
      <c r="F273" s="37"/>
      <c r="G273" s="39"/>
      <c r="H273" s="135" t="s">
        <v>14</v>
      </c>
      <c r="I273" s="133"/>
      <c r="J273" s="133"/>
      <c r="K273" s="134"/>
      <c r="L273" s="43">
        <f t="shared" ref="L273:N273" ca="1" si="200">L274+L275</f>
        <v>0</v>
      </c>
      <c r="M273" s="43">
        <f t="shared" ca="1" si="200"/>
        <v>0</v>
      </c>
      <c r="N273" s="43">
        <f t="shared" ca="1" si="200"/>
        <v>0</v>
      </c>
      <c r="O273" s="43">
        <f t="shared" ca="1" si="189"/>
        <v>0</v>
      </c>
      <c r="P273" s="43">
        <f t="shared" ca="1" si="190"/>
        <v>0</v>
      </c>
      <c r="Q273" s="43">
        <f t="shared" ref="Q273:S273" ca="1" si="201">Q274+Q275</f>
        <v>0</v>
      </c>
      <c r="R273" s="43">
        <f t="shared" ca="1" si="201"/>
        <v>0</v>
      </c>
      <c r="S273" s="43">
        <f t="shared" ca="1" si="201"/>
        <v>0</v>
      </c>
      <c r="T273" s="43">
        <f t="shared" ca="1" si="192"/>
        <v>0</v>
      </c>
      <c r="U273" s="43">
        <f t="shared" ca="1" si="193"/>
        <v>0</v>
      </c>
    </row>
    <row r="274" spans="1:21" ht="18.75" x14ac:dyDescent="0.25">
      <c r="A274" s="126"/>
      <c r="B274" s="37"/>
      <c r="C274" s="37"/>
      <c r="D274" s="37"/>
      <c r="E274" s="44" t="s">
        <v>20</v>
      </c>
      <c r="F274" s="37"/>
      <c r="G274" s="39"/>
      <c r="H274" s="132" t="s">
        <v>14</v>
      </c>
      <c r="I274" s="133"/>
      <c r="J274" s="133"/>
      <c r="K274" s="134"/>
      <c r="L274" s="43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4" s="43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4" s="43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4" s="43">
        <f t="shared" ca="1" si="189"/>
        <v>0</v>
      </c>
      <c r="P274" s="43">
        <f t="shared" ca="1" si="190"/>
        <v>0</v>
      </c>
      <c r="Q274" s="45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4" s="45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4" s="45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4" s="45">
        <f t="shared" ca="1" si="192"/>
        <v>0</v>
      </c>
      <c r="U274" s="45">
        <f t="shared" ca="1" si="193"/>
        <v>0</v>
      </c>
    </row>
    <row r="275" spans="1:21" ht="18.75" x14ac:dyDescent="0.25">
      <c r="A275" s="126"/>
      <c r="B275" s="37"/>
      <c r="C275" s="37"/>
      <c r="D275" s="37"/>
      <c r="E275" s="44" t="s">
        <v>21</v>
      </c>
      <c r="F275" s="37"/>
      <c r="G275" s="39"/>
      <c r="H275" s="135" t="s">
        <v>14</v>
      </c>
      <c r="I275" s="133"/>
      <c r="J275" s="133"/>
      <c r="K275" s="134"/>
      <c r="L275" s="43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5" s="43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5" s="43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5" s="43">
        <f t="shared" ca="1" si="189"/>
        <v>0</v>
      </c>
      <c r="P275" s="43">
        <f t="shared" ca="1" si="190"/>
        <v>0</v>
      </c>
      <c r="Q275" s="43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5" s="43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5" s="43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5" s="43">
        <f t="shared" ca="1" si="192"/>
        <v>0</v>
      </c>
      <c r="U275" s="43">
        <f t="shared" ca="1" si="193"/>
        <v>0</v>
      </c>
    </row>
    <row r="276" spans="1:21" ht="19.5" x14ac:dyDescent="0.3">
      <c r="A276" s="136"/>
      <c r="B276" s="137"/>
      <c r="C276" s="254" t="s">
        <v>18</v>
      </c>
      <c r="D276" s="138" t="s">
        <v>38</v>
      </c>
      <c r="E276" s="139"/>
      <c r="F276" s="139"/>
      <c r="G276" s="140"/>
      <c r="H276" s="141"/>
      <c r="I276" s="133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</row>
    <row r="277" spans="1:21" ht="18.75" x14ac:dyDescent="0.25">
      <c r="A277" s="255"/>
      <c r="B277" s="156"/>
      <c r="C277" s="156"/>
      <c r="D277" s="256" t="s">
        <v>115</v>
      </c>
      <c r="E277" s="37"/>
      <c r="F277" s="37"/>
      <c r="G277" s="39"/>
      <c r="H277" s="131" t="s">
        <v>35</v>
      </c>
      <c r="I277" s="165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7" s="165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0)</f>
        <v>0</v>
      </c>
      <c r="K277" s="43">
        <f ca="1">IF(I277&gt;0,J277*100/I277,0)</f>
        <v>0</v>
      </c>
      <c r="L277" s="42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x14ac:dyDescent="0.25">
      <c r="A278" s="257"/>
      <c r="B278" s="258"/>
      <c r="C278" s="258"/>
      <c r="D278" s="259" t="s">
        <v>116</v>
      </c>
      <c r="E278" s="260"/>
      <c r="F278" s="260"/>
      <c r="G278" s="261"/>
      <c r="H278" s="50" t="s">
        <v>35</v>
      </c>
      <c r="I278" s="194">
        <v>0</v>
      </c>
      <c r="J278" s="194">
        <v>0</v>
      </c>
      <c r="K278" s="262">
        <v>0</v>
      </c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282">
        <f t="shared" ref="I281:J281" ca="1" si="202">I294</f>
        <v>410</v>
      </c>
      <c r="J281" s="282">
        <f t="shared" ca="1" si="202"/>
        <v>240</v>
      </c>
      <c r="K281" s="283">
        <f t="shared" ref="K281:K282" ca="1" si="203">IF(I281&gt;0,J281*100/I281,0)</f>
        <v>58.536585365853661</v>
      </c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282">
        <f t="shared" ref="I282:J282" ca="1" si="204">I293</f>
        <v>4100</v>
      </c>
      <c r="J282" s="282">
        <f t="shared" ca="1" si="204"/>
        <v>2100</v>
      </c>
      <c r="K282" s="283">
        <f t="shared" ca="1" si="203"/>
        <v>51.219512195121951</v>
      </c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37"/>
      <c r="C283" s="127" t="s">
        <v>18</v>
      </c>
      <c r="D283" s="128" t="s">
        <v>19</v>
      </c>
      <c r="E283" s="37"/>
      <c r="F283" s="37"/>
      <c r="G283" s="39"/>
      <c r="H283" s="129" t="s">
        <v>14</v>
      </c>
      <c r="I283" s="41"/>
      <c r="J283" s="41"/>
      <c r="K283" s="42"/>
      <c r="L283" s="130">
        <f t="shared" ref="L283:N283" ca="1" si="205">L284+L285</f>
        <v>1970540</v>
      </c>
      <c r="M283" s="130">
        <f t="shared" ca="1" si="205"/>
        <v>1970540</v>
      </c>
      <c r="N283" s="130">
        <f t="shared" ca="1" si="205"/>
        <v>912807.43</v>
      </c>
      <c r="O283" s="130">
        <f t="shared" ref="O283:O291" ca="1" si="206">IF(L283&gt;0,N283*100/L283,0)</f>
        <v>46.322704943822508</v>
      </c>
      <c r="P283" s="130">
        <f t="shared" ref="P283:P291" ca="1" si="207">IF(M283&gt;0,N283*100/M283,0)</f>
        <v>46.322704943822508</v>
      </c>
      <c r="Q283" s="130">
        <f t="shared" ref="Q283:S283" ca="1" si="208">Q284+Q285</f>
        <v>0</v>
      </c>
      <c r="R283" s="130">
        <f t="shared" ca="1" si="208"/>
        <v>0</v>
      </c>
      <c r="S283" s="130">
        <f t="shared" ca="1" si="208"/>
        <v>0</v>
      </c>
      <c r="T283" s="130">
        <f t="shared" ref="T283:T291" ca="1" si="209">IF(Q283&gt;0,S283*100/Q283,0)</f>
        <v>0</v>
      </c>
      <c r="U283" s="130">
        <f t="shared" ref="U283:U291" ca="1" si="210">IF(R283&gt;0,S283*100/R283,0)</f>
        <v>0</v>
      </c>
    </row>
    <row r="284" spans="1:21" ht="18.75" x14ac:dyDescent="0.25">
      <c r="A284" s="126"/>
      <c r="B284" s="37"/>
      <c r="C284" s="37"/>
      <c r="D284" s="37"/>
      <c r="E284" s="44" t="s">
        <v>20</v>
      </c>
      <c r="F284" s="37"/>
      <c r="G284" s="39"/>
      <c r="H284" s="131" t="s">
        <v>14</v>
      </c>
      <c r="I284" s="41"/>
      <c r="J284" s="41"/>
      <c r="K284" s="42"/>
      <c r="L284" s="43">
        <f t="shared" ref="L284:N284" ca="1" si="211">L287+L290</f>
        <v>0</v>
      </c>
      <c r="M284" s="43">
        <f t="shared" ca="1" si="211"/>
        <v>0</v>
      </c>
      <c r="N284" s="43">
        <f t="shared" ca="1" si="211"/>
        <v>0</v>
      </c>
      <c r="O284" s="43">
        <f t="shared" ca="1" si="206"/>
        <v>0</v>
      </c>
      <c r="P284" s="43">
        <f t="shared" ca="1" si="207"/>
        <v>0</v>
      </c>
      <c r="Q284" s="45">
        <f t="shared" ref="Q284:S284" ca="1" si="212">Q287+Q290</f>
        <v>0</v>
      </c>
      <c r="R284" s="45">
        <f t="shared" ca="1" si="212"/>
        <v>0</v>
      </c>
      <c r="S284" s="45">
        <f t="shared" ca="1" si="212"/>
        <v>0</v>
      </c>
      <c r="T284" s="45">
        <f t="shared" ca="1" si="209"/>
        <v>0</v>
      </c>
      <c r="U284" s="45">
        <f t="shared" ca="1" si="210"/>
        <v>0</v>
      </c>
    </row>
    <row r="285" spans="1:21" ht="18.75" x14ac:dyDescent="0.25">
      <c r="A285" s="126"/>
      <c r="B285" s="37"/>
      <c r="C285" s="37"/>
      <c r="D285" s="37"/>
      <c r="E285" s="44" t="s">
        <v>21</v>
      </c>
      <c r="F285" s="37"/>
      <c r="G285" s="39"/>
      <c r="H285" s="131" t="s">
        <v>14</v>
      </c>
      <c r="I285" s="41"/>
      <c r="J285" s="41"/>
      <c r="K285" s="42"/>
      <c r="L285" s="43">
        <f t="shared" ref="L285:N285" ca="1" si="213">L288+L291</f>
        <v>1970540</v>
      </c>
      <c r="M285" s="43">
        <f t="shared" ca="1" si="213"/>
        <v>1970540</v>
      </c>
      <c r="N285" s="43">
        <f t="shared" ca="1" si="213"/>
        <v>912807.43</v>
      </c>
      <c r="O285" s="43">
        <f t="shared" ca="1" si="206"/>
        <v>46.322704943822508</v>
      </c>
      <c r="P285" s="43">
        <f t="shared" ca="1" si="207"/>
        <v>46.322704943822508</v>
      </c>
      <c r="Q285" s="43">
        <f t="shared" ref="Q285:S285" ca="1" si="214">Q288+Q291</f>
        <v>0</v>
      </c>
      <c r="R285" s="43">
        <f t="shared" ca="1" si="214"/>
        <v>0</v>
      </c>
      <c r="S285" s="43">
        <f t="shared" ca="1" si="214"/>
        <v>0</v>
      </c>
      <c r="T285" s="43">
        <f t="shared" ca="1" si="209"/>
        <v>0</v>
      </c>
      <c r="U285" s="43">
        <f t="shared" ca="1" si="210"/>
        <v>0</v>
      </c>
    </row>
    <row r="286" spans="1:21" ht="18.75" x14ac:dyDescent="0.25">
      <c r="A286" s="126"/>
      <c r="B286" s="37"/>
      <c r="C286" s="37"/>
      <c r="D286" s="38" t="s">
        <v>22</v>
      </c>
      <c r="E286" s="37"/>
      <c r="F286" s="37"/>
      <c r="G286" s="39"/>
      <c r="H286" s="132" t="s">
        <v>14</v>
      </c>
      <c r="I286" s="133"/>
      <c r="J286" s="133"/>
      <c r="K286" s="134"/>
      <c r="L286" s="43">
        <f t="shared" ref="L286:N286" ca="1" si="215">L287+L288</f>
        <v>1970540</v>
      </c>
      <c r="M286" s="43">
        <f t="shared" ca="1" si="215"/>
        <v>1970540</v>
      </c>
      <c r="N286" s="43">
        <f t="shared" ca="1" si="215"/>
        <v>912807.43</v>
      </c>
      <c r="O286" s="43">
        <f t="shared" ca="1" si="206"/>
        <v>46.322704943822508</v>
      </c>
      <c r="P286" s="43">
        <f t="shared" ca="1" si="207"/>
        <v>46.322704943822508</v>
      </c>
      <c r="Q286" s="43">
        <f t="shared" ref="Q286:S286" ca="1" si="216">Q287+Q288</f>
        <v>0</v>
      </c>
      <c r="R286" s="43">
        <f t="shared" ca="1" si="216"/>
        <v>0</v>
      </c>
      <c r="S286" s="43">
        <f t="shared" ca="1" si="216"/>
        <v>0</v>
      </c>
      <c r="T286" s="43">
        <f t="shared" ca="1" si="209"/>
        <v>0</v>
      </c>
      <c r="U286" s="43">
        <f t="shared" ca="1" si="210"/>
        <v>0</v>
      </c>
    </row>
    <row r="287" spans="1:21" ht="18.75" x14ac:dyDescent="0.25">
      <c r="A287" s="126"/>
      <c r="B287" s="37"/>
      <c r="C287" s="37"/>
      <c r="D287" s="37"/>
      <c r="E287" s="44" t="s">
        <v>36</v>
      </c>
      <c r="F287" s="37"/>
      <c r="G287" s="39"/>
      <c r="H287" s="132" t="s">
        <v>14</v>
      </c>
      <c r="I287" s="133"/>
      <c r="J287" s="133"/>
      <c r="K287" s="134"/>
      <c r="L287" s="43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7" s="43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7" s="43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7" s="43">
        <f t="shared" ca="1" si="206"/>
        <v>0</v>
      </c>
      <c r="P287" s="43">
        <f t="shared" ca="1" si="207"/>
        <v>0</v>
      </c>
      <c r="Q287" s="45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7" s="45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7" s="45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7" s="45">
        <f t="shared" ca="1" si="209"/>
        <v>0</v>
      </c>
      <c r="U287" s="45">
        <f t="shared" ca="1" si="210"/>
        <v>0</v>
      </c>
    </row>
    <row r="288" spans="1:21" ht="18.75" x14ac:dyDescent="0.25">
      <c r="A288" s="126"/>
      <c r="B288" s="37"/>
      <c r="C288" s="37"/>
      <c r="D288" s="37"/>
      <c r="E288" s="44" t="s">
        <v>37</v>
      </c>
      <c r="F288" s="37"/>
      <c r="G288" s="39"/>
      <c r="H288" s="132" t="s">
        <v>14</v>
      </c>
      <c r="I288" s="133"/>
      <c r="J288" s="133"/>
      <c r="K288" s="134"/>
      <c r="L288" s="43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1970540)</f>
        <v>1970540</v>
      </c>
      <c r="M288" s="43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1970540)</f>
        <v>1970540</v>
      </c>
      <c r="N288" s="43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912807.43)</f>
        <v>912807.43</v>
      </c>
      <c r="O288" s="43">
        <f t="shared" ca="1" si="206"/>
        <v>46.322704943822508</v>
      </c>
      <c r="P288" s="43">
        <f t="shared" ca="1" si="207"/>
        <v>46.322704943822508</v>
      </c>
      <c r="Q288" s="43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8" s="43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8" s="43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8" s="45">
        <f t="shared" ca="1" si="209"/>
        <v>0</v>
      </c>
      <c r="U288" s="45">
        <f t="shared" ca="1" si="210"/>
        <v>0</v>
      </c>
    </row>
    <row r="289" spans="1:21" ht="18.75" x14ac:dyDescent="0.25">
      <c r="A289" s="126"/>
      <c r="B289" s="37"/>
      <c r="C289" s="37"/>
      <c r="D289" s="38" t="s">
        <v>23</v>
      </c>
      <c r="E289" s="37"/>
      <c r="F289" s="37"/>
      <c r="G289" s="39"/>
      <c r="H289" s="135" t="s">
        <v>14</v>
      </c>
      <c r="I289" s="133"/>
      <c r="J289" s="133"/>
      <c r="K289" s="134"/>
      <c r="L289" s="43">
        <f t="shared" ref="L289:N289" ca="1" si="217">L290+L291</f>
        <v>0</v>
      </c>
      <c r="M289" s="43">
        <f t="shared" ca="1" si="217"/>
        <v>0</v>
      </c>
      <c r="N289" s="43">
        <f t="shared" ca="1" si="217"/>
        <v>0</v>
      </c>
      <c r="O289" s="43">
        <f t="shared" ca="1" si="206"/>
        <v>0</v>
      </c>
      <c r="P289" s="43">
        <f t="shared" ca="1" si="207"/>
        <v>0</v>
      </c>
      <c r="Q289" s="43">
        <f t="shared" ref="Q289:S289" ca="1" si="218">Q290+Q291</f>
        <v>0</v>
      </c>
      <c r="R289" s="43">
        <f t="shared" ca="1" si="218"/>
        <v>0</v>
      </c>
      <c r="S289" s="43">
        <f t="shared" ca="1" si="218"/>
        <v>0</v>
      </c>
      <c r="T289" s="43">
        <f t="shared" ca="1" si="209"/>
        <v>0</v>
      </c>
      <c r="U289" s="43">
        <f t="shared" ca="1" si="210"/>
        <v>0</v>
      </c>
    </row>
    <row r="290" spans="1:21" ht="18.75" x14ac:dyDescent="0.25">
      <c r="A290" s="126"/>
      <c r="B290" s="37"/>
      <c r="C290" s="37"/>
      <c r="D290" s="37"/>
      <c r="E290" s="44" t="s">
        <v>20</v>
      </c>
      <c r="F290" s="37"/>
      <c r="G290" s="39"/>
      <c r="H290" s="132" t="s">
        <v>14</v>
      </c>
      <c r="I290" s="133"/>
      <c r="J290" s="133"/>
      <c r="K290" s="134"/>
      <c r="L290" s="43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90" s="43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90" s="43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90" s="43">
        <f t="shared" ca="1" si="206"/>
        <v>0</v>
      </c>
      <c r="P290" s="43">
        <f t="shared" ca="1" si="207"/>
        <v>0</v>
      </c>
      <c r="Q290" s="45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90" s="45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90" s="45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90" s="45">
        <f t="shared" ca="1" si="209"/>
        <v>0</v>
      </c>
      <c r="U290" s="45">
        <f t="shared" ca="1" si="210"/>
        <v>0</v>
      </c>
    </row>
    <row r="291" spans="1:21" ht="18.75" x14ac:dyDescent="0.25">
      <c r="A291" s="126"/>
      <c r="B291" s="37"/>
      <c r="C291" s="37"/>
      <c r="D291" s="37"/>
      <c r="E291" s="44" t="s">
        <v>21</v>
      </c>
      <c r="F291" s="37"/>
      <c r="G291" s="39"/>
      <c r="H291" s="135" t="s">
        <v>14</v>
      </c>
      <c r="I291" s="133"/>
      <c r="J291" s="133"/>
      <c r="K291" s="134"/>
      <c r="L291" s="43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1" s="43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1" s="43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1" s="43">
        <f t="shared" ca="1" si="206"/>
        <v>0</v>
      </c>
      <c r="P291" s="43">
        <f t="shared" ca="1" si="207"/>
        <v>0</v>
      </c>
      <c r="Q291" s="43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1" s="43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1" s="43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1" s="43">
        <f t="shared" ca="1" si="209"/>
        <v>0</v>
      </c>
      <c r="U291" s="43">
        <f t="shared" ca="1" si="210"/>
        <v>0</v>
      </c>
    </row>
    <row r="292" spans="1:21" ht="19.5" x14ac:dyDescent="0.3">
      <c r="A292" s="136"/>
      <c r="B292" s="137"/>
      <c r="C292" s="127" t="s">
        <v>18</v>
      </c>
      <c r="D292" s="138" t="s">
        <v>38</v>
      </c>
      <c r="E292" s="139"/>
      <c r="F292" s="139"/>
      <c r="G292" s="140"/>
      <c r="H292" s="141"/>
      <c r="I292" s="133"/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43"/>
      <c r="G293" s="141"/>
      <c r="H293" s="151" t="s">
        <v>46</v>
      </c>
      <c r="I293" s="165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3" s="165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2100)</f>
        <v>2100</v>
      </c>
      <c r="K293" s="150">
        <f t="shared" ref="K293:K294" ca="1" si="219">IF(I293&gt;0,J293*100/I293,0)</f>
        <v>51.219512195121951</v>
      </c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47" t="s">
        <v>121</v>
      </c>
      <c r="E294" s="137"/>
      <c r="F294" s="143"/>
      <c r="G294" s="141"/>
      <c r="H294" s="144" t="s">
        <v>35</v>
      </c>
      <c r="I294" s="145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4" s="145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240)</f>
        <v>240</v>
      </c>
      <c r="K294" s="146">
        <f t="shared" ca="1" si="219"/>
        <v>58.536585365853661</v>
      </c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43"/>
      <c r="E295" s="285" t="s">
        <v>122</v>
      </c>
      <c r="F295" s="143"/>
      <c r="G295" s="141"/>
      <c r="H295" s="141"/>
      <c r="I295" s="133"/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43"/>
      <c r="E296" s="164" t="s">
        <v>123</v>
      </c>
      <c r="F296" s="143"/>
      <c r="G296" s="141"/>
      <c r="H296" s="148" t="s">
        <v>35</v>
      </c>
      <c r="I296" s="149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6" s="149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261)</f>
        <v>261</v>
      </c>
      <c r="K296" s="150">
        <f t="shared" ref="K296:K297" ca="1" si="220">IF(I296&gt;0,J296*100/I296,0)</f>
        <v>63.658536585365852</v>
      </c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43"/>
      <c r="E297" s="147" t="s">
        <v>124</v>
      </c>
      <c r="F297" s="143"/>
      <c r="G297" s="141"/>
      <c r="H297" s="148" t="s">
        <v>35</v>
      </c>
      <c r="I297" s="149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7" s="149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240)</f>
        <v>240</v>
      </c>
      <c r="K297" s="150">
        <f t="shared" ca="1" si="220"/>
        <v>58.536585365853661</v>
      </c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305">
        <f t="shared" ref="I303:J303" ca="1" si="221">I315</f>
        <v>435</v>
      </c>
      <c r="J303" s="305">
        <f t="shared" ca="1" si="221"/>
        <v>145</v>
      </c>
      <c r="K303" s="306">
        <f ca="1">IF(I303&gt;0,J303*100/I303,0)</f>
        <v>33.333333333333336</v>
      </c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37"/>
      <c r="C304" s="127" t="s">
        <v>18</v>
      </c>
      <c r="D304" s="128" t="s">
        <v>19</v>
      </c>
      <c r="E304" s="37"/>
      <c r="F304" s="37"/>
      <c r="G304" s="39"/>
      <c r="H304" s="129" t="s">
        <v>14</v>
      </c>
      <c r="I304" s="41"/>
      <c r="J304" s="41"/>
      <c r="K304" s="42"/>
      <c r="L304" s="130">
        <f t="shared" ref="L304:N304" ca="1" si="222">L305+L306</f>
        <v>1749700</v>
      </c>
      <c r="M304" s="130">
        <f t="shared" ca="1" si="222"/>
        <v>1749700</v>
      </c>
      <c r="N304" s="130">
        <f t="shared" ca="1" si="222"/>
        <v>876075.78</v>
      </c>
      <c r="O304" s="130">
        <f t="shared" ref="O304:O312" ca="1" si="223">IF(L304&gt;0,N304*100/L304,0)</f>
        <v>50.070056581128192</v>
      </c>
      <c r="P304" s="130">
        <f t="shared" ref="P304:P312" ca="1" si="224">IF(M304&gt;0,N304*100/M304,0)</f>
        <v>50.070056581128192</v>
      </c>
      <c r="Q304" s="130">
        <f t="shared" ref="Q304:S304" ca="1" si="225">Q305+Q306</f>
        <v>3447352.04</v>
      </c>
      <c r="R304" s="130">
        <f t="shared" ca="1" si="225"/>
        <v>3447347</v>
      </c>
      <c r="S304" s="130">
        <f t="shared" ca="1" si="225"/>
        <v>0</v>
      </c>
      <c r="T304" s="130">
        <f t="shared" ref="T304:T312" ca="1" si="226">IF(Q304&gt;0,S304*100/Q304,0)</f>
        <v>0</v>
      </c>
      <c r="U304" s="130">
        <f t="shared" ref="U304:U312" ca="1" si="227">IF(R304&gt;0,S304*100/R304,0)</f>
        <v>0</v>
      </c>
    </row>
    <row r="305" spans="1:21" ht="18.75" x14ac:dyDescent="0.25">
      <c r="A305" s="126"/>
      <c r="B305" s="37"/>
      <c r="C305" s="37"/>
      <c r="D305" s="37"/>
      <c r="E305" s="44" t="s">
        <v>20</v>
      </c>
      <c r="F305" s="37"/>
      <c r="G305" s="39"/>
      <c r="H305" s="131" t="s">
        <v>14</v>
      </c>
      <c r="I305" s="41"/>
      <c r="J305" s="41"/>
      <c r="K305" s="42"/>
      <c r="L305" s="43">
        <f t="shared" ref="L305:N305" ca="1" si="228">L308+L311</f>
        <v>0</v>
      </c>
      <c r="M305" s="43">
        <f t="shared" ca="1" si="228"/>
        <v>0</v>
      </c>
      <c r="N305" s="43">
        <f t="shared" ca="1" si="228"/>
        <v>0</v>
      </c>
      <c r="O305" s="43">
        <f t="shared" ca="1" si="223"/>
        <v>0</v>
      </c>
      <c r="P305" s="43">
        <f t="shared" ca="1" si="224"/>
        <v>0</v>
      </c>
      <c r="Q305" s="45">
        <f t="shared" ref="Q305:S305" ca="1" si="229">Q308+Q311</f>
        <v>0</v>
      </c>
      <c r="R305" s="45">
        <f t="shared" ca="1" si="229"/>
        <v>0</v>
      </c>
      <c r="S305" s="45">
        <f t="shared" ca="1" si="229"/>
        <v>0</v>
      </c>
      <c r="T305" s="45">
        <f t="shared" ca="1" si="226"/>
        <v>0</v>
      </c>
      <c r="U305" s="45">
        <f t="shared" ca="1" si="227"/>
        <v>0</v>
      </c>
    </row>
    <row r="306" spans="1:21" ht="18.75" x14ac:dyDescent="0.25">
      <c r="A306" s="126"/>
      <c r="B306" s="37"/>
      <c r="C306" s="37"/>
      <c r="D306" s="37"/>
      <c r="E306" s="44" t="s">
        <v>21</v>
      </c>
      <c r="F306" s="37"/>
      <c r="G306" s="39"/>
      <c r="H306" s="131" t="s">
        <v>14</v>
      </c>
      <c r="I306" s="41"/>
      <c r="J306" s="41"/>
      <c r="K306" s="42"/>
      <c r="L306" s="43">
        <f t="shared" ref="L306:N306" ca="1" si="230">L309+L312</f>
        <v>1749700</v>
      </c>
      <c r="M306" s="43">
        <f t="shared" ca="1" si="230"/>
        <v>1749700</v>
      </c>
      <c r="N306" s="43">
        <f t="shared" ca="1" si="230"/>
        <v>876075.78</v>
      </c>
      <c r="O306" s="43">
        <f t="shared" ca="1" si="223"/>
        <v>50.070056581128192</v>
      </c>
      <c r="P306" s="43">
        <f t="shared" ca="1" si="224"/>
        <v>50.070056581128192</v>
      </c>
      <c r="Q306" s="43">
        <f t="shared" ref="Q306:S306" ca="1" si="231">Q309+Q312</f>
        <v>3447352.04</v>
      </c>
      <c r="R306" s="43">
        <f t="shared" ca="1" si="231"/>
        <v>3447347</v>
      </c>
      <c r="S306" s="43">
        <f t="shared" ca="1" si="231"/>
        <v>0</v>
      </c>
      <c r="T306" s="43">
        <f t="shared" ca="1" si="226"/>
        <v>0</v>
      </c>
      <c r="U306" s="43">
        <f t="shared" ca="1" si="227"/>
        <v>0</v>
      </c>
    </row>
    <row r="307" spans="1:21" ht="18.75" x14ac:dyDescent="0.25">
      <c r="A307" s="126"/>
      <c r="B307" s="37"/>
      <c r="C307" s="37"/>
      <c r="D307" s="38" t="s">
        <v>22</v>
      </c>
      <c r="E307" s="37"/>
      <c r="F307" s="37"/>
      <c r="G307" s="39"/>
      <c r="H307" s="132" t="s">
        <v>14</v>
      </c>
      <c r="I307" s="133"/>
      <c r="J307" s="133"/>
      <c r="K307" s="134"/>
      <c r="L307" s="43">
        <f t="shared" ref="L307:N307" ca="1" si="232">L308+L309</f>
        <v>1749700</v>
      </c>
      <c r="M307" s="43">
        <f t="shared" ca="1" si="232"/>
        <v>1749700</v>
      </c>
      <c r="N307" s="43">
        <f t="shared" ca="1" si="232"/>
        <v>876075.78</v>
      </c>
      <c r="O307" s="43">
        <f t="shared" ca="1" si="223"/>
        <v>50.070056581128192</v>
      </c>
      <c r="P307" s="43">
        <f t="shared" ca="1" si="224"/>
        <v>50.070056581128192</v>
      </c>
      <c r="Q307" s="43">
        <f t="shared" ref="Q307:S307" ca="1" si="233">Q308+Q309</f>
        <v>3447352.04</v>
      </c>
      <c r="R307" s="43">
        <f t="shared" ca="1" si="233"/>
        <v>3447347</v>
      </c>
      <c r="S307" s="43">
        <f t="shared" ca="1" si="233"/>
        <v>0</v>
      </c>
      <c r="T307" s="43">
        <f t="shared" ca="1" si="226"/>
        <v>0</v>
      </c>
      <c r="U307" s="43">
        <f t="shared" ca="1" si="227"/>
        <v>0</v>
      </c>
    </row>
    <row r="308" spans="1:21" ht="18.75" x14ac:dyDescent="0.25">
      <c r="A308" s="126"/>
      <c r="B308" s="37"/>
      <c r="C308" s="37"/>
      <c r="D308" s="37"/>
      <c r="E308" s="44" t="s">
        <v>36</v>
      </c>
      <c r="F308" s="37"/>
      <c r="G308" s="39"/>
      <c r="H308" s="132" t="s">
        <v>14</v>
      </c>
      <c r="I308" s="133"/>
      <c r="J308" s="133"/>
      <c r="K308" s="134"/>
      <c r="L308" s="43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8" s="43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8" s="43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8" s="43">
        <f t="shared" ca="1" si="223"/>
        <v>0</v>
      </c>
      <c r="P308" s="43">
        <f t="shared" ca="1" si="224"/>
        <v>0</v>
      </c>
      <c r="Q308" s="45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8" s="45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8" s="45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8" s="45">
        <f t="shared" ca="1" si="226"/>
        <v>0</v>
      </c>
      <c r="U308" s="45">
        <f t="shared" ca="1" si="227"/>
        <v>0</v>
      </c>
    </row>
    <row r="309" spans="1:21" ht="18.75" x14ac:dyDescent="0.25">
      <c r="A309" s="126"/>
      <c r="B309" s="37"/>
      <c r="C309" s="37"/>
      <c r="D309" s="37"/>
      <c r="E309" s="44" t="s">
        <v>37</v>
      </c>
      <c r="F309" s="37"/>
      <c r="G309" s="39"/>
      <c r="H309" s="132" t="s">
        <v>14</v>
      </c>
      <c r="I309" s="133"/>
      <c r="J309" s="133"/>
      <c r="K309" s="134"/>
      <c r="L309" s="43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1749700)</f>
        <v>1749700</v>
      </c>
      <c r="M309" s="43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1749700)</f>
        <v>1749700</v>
      </c>
      <c r="N309" s="43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876075.78)</f>
        <v>876075.78</v>
      </c>
      <c r="O309" s="43">
        <f t="shared" ca="1" si="223"/>
        <v>50.070056581128192</v>
      </c>
      <c r="P309" s="43">
        <f t="shared" ca="1" si="224"/>
        <v>50.070056581128192</v>
      </c>
      <c r="Q309" s="43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9" s="43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3447347)</f>
        <v>3447347</v>
      </c>
      <c r="S309" s="43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0)</f>
        <v>0</v>
      </c>
      <c r="T309" s="43">
        <f t="shared" ca="1" si="226"/>
        <v>0</v>
      </c>
      <c r="U309" s="43">
        <f t="shared" ca="1" si="227"/>
        <v>0</v>
      </c>
    </row>
    <row r="310" spans="1:21" ht="18.75" x14ac:dyDescent="0.25">
      <c r="A310" s="126"/>
      <c r="B310" s="37"/>
      <c r="C310" s="37"/>
      <c r="D310" s="38" t="s">
        <v>23</v>
      </c>
      <c r="E310" s="37"/>
      <c r="F310" s="37"/>
      <c r="G310" s="39"/>
      <c r="H310" s="135" t="s">
        <v>14</v>
      </c>
      <c r="I310" s="133"/>
      <c r="J310" s="133"/>
      <c r="K310" s="134"/>
      <c r="L310" s="43">
        <f t="shared" ref="L310:N310" ca="1" si="234">L311+L312</f>
        <v>0</v>
      </c>
      <c r="M310" s="43">
        <f t="shared" ca="1" si="234"/>
        <v>0</v>
      </c>
      <c r="N310" s="43">
        <f t="shared" ca="1" si="234"/>
        <v>0</v>
      </c>
      <c r="O310" s="43">
        <f t="shared" ca="1" si="223"/>
        <v>0</v>
      </c>
      <c r="P310" s="43">
        <f t="shared" ca="1" si="224"/>
        <v>0</v>
      </c>
      <c r="Q310" s="43">
        <f t="shared" ref="Q310:S310" ca="1" si="235">Q311+Q312</f>
        <v>0</v>
      </c>
      <c r="R310" s="43">
        <f t="shared" ca="1" si="235"/>
        <v>0</v>
      </c>
      <c r="S310" s="43">
        <f t="shared" ca="1" si="235"/>
        <v>0</v>
      </c>
      <c r="T310" s="43">
        <f t="shared" ca="1" si="226"/>
        <v>0</v>
      </c>
      <c r="U310" s="43">
        <f t="shared" ca="1" si="227"/>
        <v>0</v>
      </c>
    </row>
    <row r="311" spans="1:21" ht="18.75" x14ac:dyDescent="0.25">
      <c r="A311" s="126"/>
      <c r="B311" s="37"/>
      <c r="C311" s="37"/>
      <c r="D311" s="37"/>
      <c r="E311" s="44" t="s">
        <v>20</v>
      </c>
      <c r="F311" s="37"/>
      <c r="G311" s="39"/>
      <c r="H311" s="132" t="s">
        <v>14</v>
      </c>
      <c r="I311" s="133"/>
      <c r="J311" s="133"/>
      <c r="K311" s="134"/>
      <c r="L311" s="43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1" s="43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1" s="43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1" s="43">
        <f t="shared" ca="1" si="223"/>
        <v>0</v>
      </c>
      <c r="P311" s="43">
        <f t="shared" ca="1" si="224"/>
        <v>0</v>
      </c>
      <c r="Q311" s="45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1" s="45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1" s="45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1" s="45">
        <f t="shared" ca="1" si="226"/>
        <v>0</v>
      </c>
      <c r="U311" s="45">
        <f t="shared" ca="1" si="227"/>
        <v>0</v>
      </c>
    </row>
    <row r="312" spans="1:21" ht="18.75" x14ac:dyDescent="0.25">
      <c r="A312" s="126"/>
      <c r="B312" s="37"/>
      <c r="C312" s="37"/>
      <c r="D312" s="37"/>
      <c r="E312" s="44" t="s">
        <v>21</v>
      </c>
      <c r="F312" s="37"/>
      <c r="G312" s="39"/>
      <c r="H312" s="135" t="s">
        <v>14</v>
      </c>
      <c r="I312" s="133"/>
      <c r="J312" s="133"/>
      <c r="K312" s="134"/>
      <c r="L312" s="43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2" s="43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2" s="43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2" s="43">
        <f t="shared" ca="1" si="223"/>
        <v>0</v>
      </c>
      <c r="P312" s="43">
        <f t="shared" ca="1" si="224"/>
        <v>0</v>
      </c>
      <c r="Q312" s="43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2" s="43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2" s="43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2" s="43">
        <f t="shared" ca="1" si="226"/>
        <v>0</v>
      </c>
      <c r="U312" s="43">
        <f t="shared" ca="1" si="227"/>
        <v>0</v>
      </c>
    </row>
    <row r="313" spans="1:21" ht="19.5" x14ac:dyDescent="0.3">
      <c r="A313" s="136"/>
      <c r="B313" s="137"/>
      <c r="C313" s="127" t="s">
        <v>18</v>
      </c>
      <c r="D313" s="138" t="s">
        <v>38</v>
      </c>
      <c r="E313" s="139"/>
      <c r="F313" s="139"/>
      <c r="G313" s="140"/>
      <c r="H313" s="141"/>
      <c r="I313" s="41"/>
      <c r="J313" s="41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x14ac:dyDescent="0.25">
      <c r="A314" s="136"/>
      <c r="B314" s="137"/>
      <c r="C314" s="137"/>
      <c r="D314" s="164" t="s">
        <v>128</v>
      </c>
      <c r="E314" s="143"/>
      <c r="F314" s="143"/>
      <c r="G314" s="141"/>
      <c r="H314" s="141"/>
      <c r="I314" s="41"/>
      <c r="J314" s="165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4" s="42"/>
      <c r="L314" s="42"/>
      <c r="M314" s="42"/>
      <c r="N314" s="42"/>
      <c r="O314" s="42"/>
      <c r="P314" s="42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47" t="s">
        <v>121</v>
      </c>
      <c r="E315" s="143"/>
      <c r="F315" s="143"/>
      <c r="G315" s="141"/>
      <c r="H315" s="148" t="s">
        <v>35</v>
      </c>
      <c r="I315" s="165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5" s="165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145)</f>
        <v>145</v>
      </c>
      <c r="K315" s="43">
        <f t="shared" ref="K315:K318" ca="1" si="236">IF(I315&gt;0,J315*100/I315,0)</f>
        <v>33.333333333333336</v>
      </c>
      <c r="L315" s="42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x14ac:dyDescent="0.25">
      <c r="A316" s="136"/>
      <c r="B316" s="137"/>
      <c r="C316" s="137"/>
      <c r="D316" s="147" t="s">
        <v>129</v>
      </c>
      <c r="E316" s="143"/>
      <c r="F316" s="143"/>
      <c r="G316" s="141"/>
      <c r="H316" s="148" t="s">
        <v>35</v>
      </c>
      <c r="I316" s="165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6" s="165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6" s="43">
        <f t="shared" ca="1" si="236"/>
        <v>0</v>
      </c>
      <c r="L316" s="42"/>
      <c r="M316" s="42"/>
      <c r="N316" s="42"/>
      <c r="O316" s="42"/>
      <c r="P316" s="42"/>
      <c r="Q316" s="18"/>
      <c r="R316" s="18"/>
      <c r="S316" s="18"/>
      <c r="T316" s="18"/>
      <c r="U316" s="18"/>
    </row>
    <row r="317" spans="1:21" ht="18.75" x14ac:dyDescent="0.25">
      <c r="A317" s="136"/>
      <c r="B317" s="137"/>
      <c r="C317" s="137"/>
      <c r="D317" s="164" t="s">
        <v>50</v>
      </c>
      <c r="E317" s="143"/>
      <c r="F317" s="143"/>
      <c r="G317" s="141"/>
      <c r="H317" s="148" t="s">
        <v>35</v>
      </c>
      <c r="I317" s="165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7" s="165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7" s="43">
        <f t="shared" ca="1" si="236"/>
        <v>0</v>
      </c>
      <c r="L317" s="42"/>
      <c r="M317" s="42"/>
      <c r="N317" s="42"/>
      <c r="O317" s="42"/>
      <c r="P317" s="42"/>
      <c r="Q317" s="18"/>
      <c r="R317" s="18"/>
      <c r="S317" s="18"/>
      <c r="T317" s="18"/>
      <c r="U317" s="18"/>
    </row>
    <row r="318" spans="1:21" ht="18.75" x14ac:dyDescent="0.25">
      <c r="A318" s="214"/>
      <c r="B318" s="156"/>
      <c r="C318" s="156"/>
      <c r="D318" s="44" t="s">
        <v>130</v>
      </c>
      <c r="E318" s="37"/>
      <c r="F318" s="37"/>
      <c r="G318" s="39"/>
      <c r="H318" s="40" t="s">
        <v>35</v>
      </c>
      <c r="I318" s="165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8" s="165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8" s="43">
        <f t="shared" ca="1" si="236"/>
        <v>0</v>
      </c>
      <c r="L318" s="42"/>
      <c r="M318" s="42"/>
      <c r="N318" s="42"/>
      <c r="O318" s="42"/>
      <c r="P318" s="42"/>
      <c r="Q318" s="18"/>
      <c r="R318" s="18"/>
      <c r="S318" s="18"/>
      <c r="T318" s="18"/>
      <c r="U318" s="18"/>
    </row>
    <row r="319" spans="1:21" ht="19.5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305">
        <f t="shared" ref="I320:J320" ca="1" si="237">I331</f>
        <v>1</v>
      </c>
      <c r="J320" s="305">
        <f t="shared" ca="1" si="237"/>
        <v>0</v>
      </c>
      <c r="K320" s="306">
        <f ca="1">IF(I320&gt;0,J320*100/I320,0)</f>
        <v>0</v>
      </c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x14ac:dyDescent="0.3">
      <c r="A321" s="126"/>
      <c r="B321" s="37"/>
      <c r="C321" s="127" t="s">
        <v>18</v>
      </c>
      <c r="D321" s="128" t="s">
        <v>19</v>
      </c>
      <c r="E321" s="37"/>
      <c r="F321" s="37"/>
      <c r="G321" s="39"/>
      <c r="H321" s="129" t="s">
        <v>14</v>
      </c>
      <c r="I321" s="41"/>
      <c r="J321" s="41"/>
      <c r="K321" s="42"/>
      <c r="L321" s="130">
        <f t="shared" ref="L321:N321" ca="1" si="238">L322+L323</f>
        <v>20000</v>
      </c>
      <c r="M321" s="130">
        <f t="shared" ca="1" si="238"/>
        <v>20000</v>
      </c>
      <c r="N321" s="130">
        <f t="shared" ca="1" si="238"/>
        <v>0</v>
      </c>
      <c r="O321" s="130">
        <f t="shared" ref="O321:O329" ca="1" si="239">IF(L321&gt;0,N321*100/L321,0)</f>
        <v>0</v>
      </c>
      <c r="P321" s="130">
        <f t="shared" ref="P321:P329" ca="1" si="240">IF(M321&gt;0,N321*100/M321,0)</f>
        <v>0</v>
      </c>
      <c r="Q321" s="130">
        <f t="shared" ref="Q321:S321" ca="1" si="241">Q322+Q323</f>
        <v>0</v>
      </c>
      <c r="R321" s="130">
        <f t="shared" ca="1" si="241"/>
        <v>0</v>
      </c>
      <c r="S321" s="130">
        <f t="shared" ca="1" si="241"/>
        <v>0</v>
      </c>
      <c r="T321" s="130">
        <f t="shared" ref="T321:T329" ca="1" si="242">IF(Q321&gt;0,S321*100/Q321,0)</f>
        <v>0</v>
      </c>
      <c r="U321" s="130">
        <f t="shared" ref="U321:U329" ca="1" si="243">IF(R321&gt;0,S321*100/R321,0)</f>
        <v>0</v>
      </c>
    </row>
    <row r="322" spans="1:21" ht="18.75" x14ac:dyDescent="0.25">
      <c r="A322" s="126"/>
      <c r="B322" s="37"/>
      <c r="C322" s="37"/>
      <c r="D322" s="37"/>
      <c r="E322" s="44" t="s">
        <v>20</v>
      </c>
      <c r="F322" s="37"/>
      <c r="G322" s="39"/>
      <c r="H322" s="131" t="s">
        <v>14</v>
      </c>
      <c r="I322" s="41"/>
      <c r="J322" s="41"/>
      <c r="K322" s="42"/>
      <c r="L322" s="43">
        <f t="shared" ref="L322:N322" ca="1" si="244">L325+L328</f>
        <v>0</v>
      </c>
      <c r="M322" s="43">
        <f t="shared" ca="1" si="244"/>
        <v>0</v>
      </c>
      <c r="N322" s="43">
        <f t="shared" ca="1" si="244"/>
        <v>0</v>
      </c>
      <c r="O322" s="43">
        <f t="shared" ca="1" si="239"/>
        <v>0</v>
      </c>
      <c r="P322" s="43">
        <f t="shared" ca="1" si="240"/>
        <v>0</v>
      </c>
      <c r="Q322" s="45">
        <f t="shared" ref="Q322:S322" ca="1" si="245">Q325+Q328</f>
        <v>0</v>
      </c>
      <c r="R322" s="45">
        <f t="shared" ca="1" si="245"/>
        <v>0</v>
      </c>
      <c r="S322" s="45">
        <f t="shared" ca="1" si="245"/>
        <v>0</v>
      </c>
      <c r="T322" s="45">
        <f t="shared" ca="1" si="242"/>
        <v>0</v>
      </c>
      <c r="U322" s="45">
        <f t="shared" ca="1" si="243"/>
        <v>0</v>
      </c>
    </row>
    <row r="323" spans="1:21" ht="18.75" x14ac:dyDescent="0.25">
      <c r="A323" s="126"/>
      <c r="B323" s="37"/>
      <c r="C323" s="37"/>
      <c r="D323" s="37"/>
      <c r="E323" s="44" t="s">
        <v>21</v>
      </c>
      <c r="F323" s="37"/>
      <c r="G323" s="39"/>
      <c r="H323" s="131" t="s">
        <v>14</v>
      </c>
      <c r="I323" s="41"/>
      <c r="J323" s="41"/>
      <c r="K323" s="42"/>
      <c r="L323" s="43">
        <f t="shared" ref="L323:N323" ca="1" si="246">L326+L329</f>
        <v>20000</v>
      </c>
      <c r="M323" s="43">
        <f t="shared" ca="1" si="246"/>
        <v>20000</v>
      </c>
      <c r="N323" s="43">
        <f t="shared" ca="1" si="246"/>
        <v>0</v>
      </c>
      <c r="O323" s="43">
        <f t="shared" ca="1" si="239"/>
        <v>0</v>
      </c>
      <c r="P323" s="43">
        <f t="shared" ca="1" si="240"/>
        <v>0</v>
      </c>
      <c r="Q323" s="43">
        <f t="shared" ref="Q323:S323" ca="1" si="247">Q326+Q329</f>
        <v>0</v>
      </c>
      <c r="R323" s="43">
        <f t="shared" ca="1" si="247"/>
        <v>0</v>
      </c>
      <c r="S323" s="43">
        <f t="shared" ca="1" si="247"/>
        <v>0</v>
      </c>
      <c r="T323" s="43">
        <f t="shared" ca="1" si="242"/>
        <v>0</v>
      </c>
      <c r="U323" s="43">
        <f t="shared" ca="1" si="243"/>
        <v>0</v>
      </c>
    </row>
    <row r="324" spans="1:21" ht="18.75" x14ac:dyDescent="0.25">
      <c r="A324" s="126"/>
      <c r="B324" s="37"/>
      <c r="C324" s="37"/>
      <c r="D324" s="38" t="s">
        <v>22</v>
      </c>
      <c r="E324" s="37"/>
      <c r="F324" s="37"/>
      <c r="G324" s="39"/>
      <c r="H324" s="132" t="s">
        <v>14</v>
      </c>
      <c r="I324" s="133"/>
      <c r="J324" s="133"/>
      <c r="K324" s="134"/>
      <c r="L324" s="43">
        <f t="shared" ref="L324:N324" ca="1" si="248">L325+L326</f>
        <v>20000</v>
      </c>
      <c r="M324" s="43">
        <f t="shared" ca="1" si="248"/>
        <v>20000</v>
      </c>
      <c r="N324" s="43">
        <f t="shared" ca="1" si="248"/>
        <v>0</v>
      </c>
      <c r="O324" s="43">
        <f t="shared" ca="1" si="239"/>
        <v>0</v>
      </c>
      <c r="P324" s="43">
        <f t="shared" ca="1" si="240"/>
        <v>0</v>
      </c>
      <c r="Q324" s="43">
        <f t="shared" ref="Q324:S324" ca="1" si="249">Q325+Q326</f>
        <v>0</v>
      </c>
      <c r="R324" s="43">
        <f t="shared" ca="1" si="249"/>
        <v>0</v>
      </c>
      <c r="S324" s="43">
        <f t="shared" ca="1" si="249"/>
        <v>0</v>
      </c>
      <c r="T324" s="43">
        <f t="shared" ca="1" si="242"/>
        <v>0</v>
      </c>
      <c r="U324" s="43">
        <f t="shared" ca="1" si="243"/>
        <v>0</v>
      </c>
    </row>
    <row r="325" spans="1:21" ht="18.75" x14ac:dyDescent="0.25">
      <c r="A325" s="126"/>
      <c r="B325" s="37"/>
      <c r="C325" s="37"/>
      <c r="D325" s="37"/>
      <c r="E325" s="44" t="s">
        <v>36</v>
      </c>
      <c r="F325" s="37"/>
      <c r="G325" s="39"/>
      <c r="H325" s="132" t="s">
        <v>14</v>
      </c>
      <c r="I325" s="133"/>
      <c r="J325" s="133"/>
      <c r="K325" s="134"/>
      <c r="L325" s="43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5" s="43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5" s="43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5" s="43">
        <f t="shared" ca="1" si="239"/>
        <v>0</v>
      </c>
      <c r="P325" s="43">
        <f t="shared" ca="1" si="240"/>
        <v>0</v>
      </c>
      <c r="Q325" s="45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5" s="45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5" s="45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5" s="45">
        <f t="shared" ca="1" si="242"/>
        <v>0</v>
      </c>
      <c r="U325" s="45">
        <f t="shared" ca="1" si="243"/>
        <v>0</v>
      </c>
    </row>
    <row r="326" spans="1:21" ht="18.75" x14ac:dyDescent="0.25">
      <c r="A326" s="126"/>
      <c r="B326" s="37"/>
      <c r="C326" s="37"/>
      <c r="D326" s="37"/>
      <c r="E326" s="44" t="s">
        <v>37</v>
      </c>
      <c r="F326" s="37"/>
      <c r="G326" s="39"/>
      <c r="H326" s="132" t="s">
        <v>14</v>
      </c>
      <c r="I326" s="133"/>
      <c r="J326" s="133"/>
      <c r="K326" s="134"/>
      <c r="L326" s="43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20000)</f>
        <v>20000</v>
      </c>
      <c r="M326" s="43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20000)</f>
        <v>20000</v>
      </c>
      <c r="N326" s="43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0)</f>
        <v>0</v>
      </c>
      <c r="O326" s="43">
        <f t="shared" ca="1" si="239"/>
        <v>0</v>
      </c>
      <c r="P326" s="43">
        <f t="shared" ca="1" si="240"/>
        <v>0</v>
      </c>
      <c r="Q326" s="43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6" s="43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6" s="43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6" s="43">
        <f t="shared" ca="1" si="242"/>
        <v>0</v>
      </c>
      <c r="U326" s="43">
        <f t="shared" ca="1" si="243"/>
        <v>0</v>
      </c>
    </row>
    <row r="327" spans="1:21" ht="18.75" x14ac:dyDescent="0.25">
      <c r="A327" s="126"/>
      <c r="B327" s="37"/>
      <c r="C327" s="37"/>
      <c r="D327" s="38" t="s">
        <v>23</v>
      </c>
      <c r="E327" s="37"/>
      <c r="F327" s="37"/>
      <c r="G327" s="39"/>
      <c r="H327" s="135" t="s">
        <v>14</v>
      </c>
      <c r="I327" s="133"/>
      <c r="J327" s="133"/>
      <c r="K327" s="134"/>
      <c r="L327" s="43">
        <f t="shared" ref="L327:N327" ca="1" si="250">L328+L329</f>
        <v>0</v>
      </c>
      <c r="M327" s="43">
        <f t="shared" ca="1" si="250"/>
        <v>0</v>
      </c>
      <c r="N327" s="43">
        <f t="shared" ca="1" si="250"/>
        <v>0</v>
      </c>
      <c r="O327" s="43">
        <f t="shared" ca="1" si="239"/>
        <v>0</v>
      </c>
      <c r="P327" s="43">
        <f t="shared" ca="1" si="240"/>
        <v>0</v>
      </c>
      <c r="Q327" s="43">
        <f t="shared" ref="Q327:S327" ca="1" si="251">Q328+Q329</f>
        <v>0</v>
      </c>
      <c r="R327" s="43">
        <f t="shared" ca="1" si="251"/>
        <v>0</v>
      </c>
      <c r="S327" s="43">
        <f t="shared" ca="1" si="251"/>
        <v>0</v>
      </c>
      <c r="T327" s="43">
        <f t="shared" ca="1" si="242"/>
        <v>0</v>
      </c>
      <c r="U327" s="43">
        <f t="shared" ca="1" si="243"/>
        <v>0</v>
      </c>
    </row>
    <row r="328" spans="1:21" ht="18.75" x14ac:dyDescent="0.25">
      <c r="A328" s="126"/>
      <c r="B328" s="37"/>
      <c r="C328" s="37"/>
      <c r="D328" s="37"/>
      <c r="E328" s="44" t="s">
        <v>20</v>
      </c>
      <c r="F328" s="37"/>
      <c r="G328" s="39"/>
      <c r="H328" s="132" t="s">
        <v>14</v>
      </c>
      <c r="I328" s="133"/>
      <c r="J328" s="133"/>
      <c r="K328" s="134"/>
      <c r="L328" s="43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8" s="43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8" s="43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8" s="43">
        <f t="shared" ca="1" si="239"/>
        <v>0</v>
      </c>
      <c r="P328" s="43">
        <f t="shared" ca="1" si="240"/>
        <v>0</v>
      </c>
      <c r="Q328" s="45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8" s="45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8" s="45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8" s="45">
        <f t="shared" ca="1" si="242"/>
        <v>0</v>
      </c>
      <c r="U328" s="45">
        <f t="shared" ca="1" si="243"/>
        <v>0</v>
      </c>
    </row>
    <row r="329" spans="1:21" ht="18.75" x14ac:dyDescent="0.25">
      <c r="A329" s="126"/>
      <c r="B329" s="37"/>
      <c r="C329" s="37"/>
      <c r="D329" s="37"/>
      <c r="E329" s="44" t="s">
        <v>21</v>
      </c>
      <c r="F329" s="37"/>
      <c r="G329" s="39"/>
      <c r="H329" s="135" t="s">
        <v>14</v>
      </c>
      <c r="I329" s="133"/>
      <c r="J329" s="133"/>
      <c r="K329" s="134"/>
      <c r="L329" s="43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9" s="43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9" s="43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9" s="43">
        <f t="shared" ca="1" si="239"/>
        <v>0</v>
      </c>
      <c r="P329" s="43">
        <f t="shared" ca="1" si="240"/>
        <v>0</v>
      </c>
      <c r="Q329" s="43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9" s="43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9" s="43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9" s="43">
        <f t="shared" ca="1" si="242"/>
        <v>0</v>
      </c>
      <c r="U329" s="43">
        <f t="shared" ca="1" si="243"/>
        <v>0</v>
      </c>
    </row>
    <row r="330" spans="1:21" ht="19.5" x14ac:dyDescent="0.3">
      <c r="A330" s="136"/>
      <c r="B330" s="137"/>
      <c r="C330" s="127" t="s">
        <v>18</v>
      </c>
      <c r="D330" s="138" t="s">
        <v>38</v>
      </c>
      <c r="E330" s="139"/>
      <c r="F330" s="139"/>
      <c r="G330" s="140"/>
      <c r="H330" s="141"/>
      <c r="I330" s="133"/>
      <c r="J330" s="41"/>
      <c r="K330" s="42"/>
      <c r="L330" s="42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x14ac:dyDescent="0.25">
      <c r="A331" s="136"/>
      <c r="B331" s="137"/>
      <c r="C331" s="137"/>
      <c r="D331" s="142" t="s">
        <v>134</v>
      </c>
      <c r="E331" s="143"/>
      <c r="F331" s="143"/>
      <c r="G331" s="141"/>
      <c r="H331" s="40" t="s">
        <v>133</v>
      </c>
      <c r="I331" s="165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1)</f>
        <v>1</v>
      </c>
      <c r="J331" s="165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0)</f>
        <v>0</v>
      </c>
      <c r="K331" s="43">
        <f ca="1">IF(I331&gt;0,J331*100/I331,0)</f>
        <v>0</v>
      </c>
      <c r="L331" s="42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305">
        <f ca="1">I345</f>
        <v>31240</v>
      </c>
      <c r="J333" s="305">
        <f ca="1">J345+J348+J349+J350+J354</f>
        <v>69087</v>
      </c>
      <c r="K333" s="306">
        <f ca="1">IF(I333&gt;0,J333*100/I333,0)</f>
        <v>221.14916773367477</v>
      </c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37"/>
      <c r="C334" s="127" t="s">
        <v>18</v>
      </c>
      <c r="D334" s="128" t="s">
        <v>19</v>
      </c>
      <c r="E334" s="37"/>
      <c r="F334" s="37"/>
      <c r="G334" s="39"/>
      <c r="H334" s="129" t="s">
        <v>14</v>
      </c>
      <c r="I334" s="41"/>
      <c r="J334" s="41"/>
      <c r="K334" s="42"/>
      <c r="L334" s="130">
        <f t="shared" ref="L334:N334" ca="1" si="252">L335+L336</f>
        <v>1861000</v>
      </c>
      <c r="M334" s="130">
        <f t="shared" ca="1" si="252"/>
        <v>1946000</v>
      </c>
      <c r="N334" s="130">
        <f t="shared" ca="1" si="252"/>
        <v>1064038.3899999999</v>
      </c>
      <c r="O334" s="130">
        <f t="shared" ref="O334:O342" ca="1" si="253">IF(L334&gt;0,N334*100/L334,0)</f>
        <v>57.175625470177316</v>
      </c>
      <c r="P334" s="130">
        <f t="shared" ref="P334:P342" ca="1" si="254">IF(M334&gt;0,N334*100/M334,0)</f>
        <v>54.678231757451172</v>
      </c>
      <c r="Q334" s="130">
        <f t="shared" ref="Q334:S334" ca="1" si="255">Q335+Q336</f>
        <v>0</v>
      </c>
      <c r="R334" s="130">
        <f t="shared" ca="1" si="255"/>
        <v>0</v>
      </c>
      <c r="S334" s="130">
        <f t="shared" ca="1" si="255"/>
        <v>0</v>
      </c>
      <c r="T334" s="130">
        <f t="shared" ref="T334:T342" ca="1" si="256">IF(Q334&gt;0,S334*100/Q334,0)</f>
        <v>0</v>
      </c>
      <c r="U334" s="130">
        <f t="shared" ref="U334:U342" ca="1" si="257">IF(R334&gt;0,S334*100/R334,0)</f>
        <v>0</v>
      </c>
    </row>
    <row r="335" spans="1:21" ht="18.75" x14ac:dyDescent="0.25">
      <c r="A335" s="126"/>
      <c r="B335" s="37"/>
      <c r="C335" s="37"/>
      <c r="D335" s="37"/>
      <c r="E335" s="44" t="s">
        <v>20</v>
      </c>
      <c r="F335" s="37"/>
      <c r="G335" s="39"/>
      <c r="H335" s="131" t="s">
        <v>14</v>
      </c>
      <c r="I335" s="41"/>
      <c r="J335" s="41"/>
      <c r="K335" s="42"/>
      <c r="L335" s="43">
        <f t="shared" ref="L335:N335" ca="1" si="258">L338+L341</f>
        <v>0</v>
      </c>
      <c r="M335" s="43">
        <f t="shared" ca="1" si="258"/>
        <v>0</v>
      </c>
      <c r="N335" s="43">
        <f t="shared" ca="1" si="258"/>
        <v>0</v>
      </c>
      <c r="O335" s="43">
        <f t="shared" ca="1" si="253"/>
        <v>0</v>
      </c>
      <c r="P335" s="43">
        <f t="shared" ca="1" si="254"/>
        <v>0</v>
      </c>
      <c r="Q335" s="45">
        <f t="shared" ref="Q335:S335" ca="1" si="259">Q338+Q341</f>
        <v>0</v>
      </c>
      <c r="R335" s="45">
        <f t="shared" ca="1" si="259"/>
        <v>0</v>
      </c>
      <c r="S335" s="45">
        <f t="shared" ca="1" si="259"/>
        <v>0</v>
      </c>
      <c r="T335" s="45">
        <f t="shared" ca="1" si="256"/>
        <v>0</v>
      </c>
      <c r="U335" s="45">
        <f t="shared" ca="1" si="257"/>
        <v>0</v>
      </c>
    </row>
    <row r="336" spans="1:21" ht="18.75" x14ac:dyDescent="0.25">
      <c r="A336" s="126"/>
      <c r="B336" s="37"/>
      <c r="C336" s="37"/>
      <c r="D336" s="37"/>
      <c r="E336" s="44" t="s">
        <v>21</v>
      </c>
      <c r="F336" s="37"/>
      <c r="G336" s="39"/>
      <c r="H336" s="131" t="s">
        <v>14</v>
      </c>
      <c r="I336" s="41"/>
      <c r="J336" s="41"/>
      <c r="K336" s="42"/>
      <c r="L336" s="43">
        <f t="shared" ref="L336:N336" ca="1" si="260">L339+L342</f>
        <v>1861000</v>
      </c>
      <c r="M336" s="43">
        <f t="shared" ca="1" si="260"/>
        <v>1946000</v>
      </c>
      <c r="N336" s="43">
        <f t="shared" ca="1" si="260"/>
        <v>1064038.3899999999</v>
      </c>
      <c r="O336" s="43">
        <f t="shared" ca="1" si="253"/>
        <v>57.175625470177316</v>
      </c>
      <c r="P336" s="43">
        <f t="shared" ca="1" si="254"/>
        <v>54.678231757451172</v>
      </c>
      <c r="Q336" s="43">
        <f t="shared" ref="Q336:S336" ca="1" si="261">Q339+Q342</f>
        <v>0</v>
      </c>
      <c r="R336" s="43">
        <f t="shared" ca="1" si="261"/>
        <v>0</v>
      </c>
      <c r="S336" s="43">
        <f t="shared" ca="1" si="261"/>
        <v>0</v>
      </c>
      <c r="T336" s="43">
        <f t="shared" ca="1" si="256"/>
        <v>0</v>
      </c>
      <c r="U336" s="43">
        <f t="shared" ca="1" si="257"/>
        <v>0</v>
      </c>
    </row>
    <row r="337" spans="1:21" ht="18.75" x14ac:dyDescent="0.25">
      <c r="A337" s="126"/>
      <c r="B337" s="37"/>
      <c r="C337" s="37"/>
      <c r="D337" s="38" t="s">
        <v>22</v>
      </c>
      <c r="E337" s="37"/>
      <c r="F337" s="37"/>
      <c r="G337" s="39"/>
      <c r="H337" s="132" t="s">
        <v>14</v>
      </c>
      <c r="I337" s="133"/>
      <c r="J337" s="133"/>
      <c r="K337" s="134"/>
      <c r="L337" s="43">
        <f t="shared" ref="L337:N337" ca="1" si="262">L338+L339</f>
        <v>1861000</v>
      </c>
      <c r="M337" s="43">
        <f t="shared" ca="1" si="262"/>
        <v>1946000</v>
      </c>
      <c r="N337" s="43">
        <f t="shared" ca="1" si="262"/>
        <v>1064038.3899999999</v>
      </c>
      <c r="O337" s="43">
        <f t="shared" ca="1" si="253"/>
        <v>57.175625470177316</v>
      </c>
      <c r="P337" s="43">
        <f t="shared" ca="1" si="254"/>
        <v>54.678231757451172</v>
      </c>
      <c r="Q337" s="43">
        <f t="shared" ref="Q337:S337" ca="1" si="263">Q338+Q339</f>
        <v>0</v>
      </c>
      <c r="R337" s="43">
        <f t="shared" ca="1" si="263"/>
        <v>0</v>
      </c>
      <c r="S337" s="43">
        <f t="shared" ca="1" si="263"/>
        <v>0</v>
      </c>
      <c r="T337" s="43">
        <f t="shared" ca="1" si="256"/>
        <v>0</v>
      </c>
      <c r="U337" s="43">
        <f t="shared" ca="1" si="257"/>
        <v>0</v>
      </c>
    </row>
    <row r="338" spans="1:21" ht="18.75" x14ac:dyDescent="0.25">
      <c r="A338" s="126"/>
      <c r="B338" s="37"/>
      <c r="C338" s="37"/>
      <c r="D338" s="37"/>
      <c r="E338" s="44" t="s">
        <v>36</v>
      </c>
      <c r="F338" s="37"/>
      <c r="G338" s="39"/>
      <c r="H338" s="132" t="s">
        <v>14</v>
      </c>
      <c r="I338" s="133"/>
      <c r="J338" s="133"/>
      <c r="K338" s="134"/>
      <c r="L338" s="43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8" s="43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8" s="43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8" s="43">
        <f t="shared" ca="1" si="253"/>
        <v>0</v>
      </c>
      <c r="P338" s="43">
        <f t="shared" ca="1" si="254"/>
        <v>0</v>
      </c>
      <c r="Q338" s="45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8" s="45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8" s="45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8" s="45">
        <f t="shared" ca="1" si="256"/>
        <v>0</v>
      </c>
      <c r="U338" s="45">
        <f t="shared" ca="1" si="257"/>
        <v>0</v>
      </c>
    </row>
    <row r="339" spans="1:21" ht="18.75" x14ac:dyDescent="0.25">
      <c r="A339" s="126"/>
      <c r="B339" s="37"/>
      <c r="C339" s="37"/>
      <c r="D339" s="37"/>
      <c r="E339" s="44" t="s">
        <v>37</v>
      </c>
      <c r="F339" s="37"/>
      <c r="G339" s="39"/>
      <c r="H339" s="132" t="s">
        <v>14</v>
      </c>
      <c r="I339" s="133"/>
      <c r="J339" s="133"/>
      <c r="K339" s="134"/>
      <c r="L339" s="43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1861000)</f>
        <v>1861000</v>
      </c>
      <c r="M339" s="43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1946000)</f>
        <v>1946000</v>
      </c>
      <c r="N339" s="43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1064038.39)</f>
        <v>1064038.3899999999</v>
      </c>
      <c r="O339" s="43">
        <f t="shared" ca="1" si="253"/>
        <v>57.175625470177316</v>
      </c>
      <c r="P339" s="43">
        <f t="shared" ca="1" si="254"/>
        <v>54.678231757451172</v>
      </c>
      <c r="Q339" s="43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9" s="43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9" s="43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9" s="43">
        <f t="shared" ca="1" si="256"/>
        <v>0</v>
      </c>
      <c r="U339" s="43">
        <f t="shared" ca="1" si="257"/>
        <v>0</v>
      </c>
    </row>
    <row r="340" spans="1:21" ht="18.75" x14ac:dyDescent="0.25">
      <c r="A340" s="126"/>
      <c r="B340" s="37"/>
      <c r="C340" s="37"/>
      <c r="D340" s="38" t="s">
        <v>23</v>
      </c>
      <c r="E340" s="37"/>
      <c r="F340" s="37"/>
      <c r="G340" s="39"/>
      <c r="H340" s="135" t="s">
        <v>14</v>
      </c>
      <c r="I340" s="133"/>
      <c r="J340" s="133"/>
      <c r="K340" s="134"/>
      <c r="L340" s="43">
        <f t="shared" ref="L340:N340" ca="1" si="264">L341+L342</f>
        <v>0</v>
      </c>
      <c r="M340" s="43">
        <f t="shared" ca="1" si="264"/>
        <v>0</v>
      </c>
      <c r="N340" s="43">
        <f t="shared" ca="1" si="264"/>
        <v>0</v>
      </c>
      <c r="O340" s="43">
        <f t="shared" ca="1" si="253"/>
        <v>0</v>
      </c>
      <c r="P340" s="43">
        <f t="shared" ca="1" si="254"/>
        <v>0</v>
      </c>
      <c r="Q340" s="43">
        <f t="shared" ref="Q340:S340" ca="1" si="265">Q341+Q342</f>
        <v>0</v>
      </c>
      <c r="R340" s="43">
        <f t="shared" ca="1" si="265"/>
        <v>0</v>
      </c>
      <c r="S340" s="43">
        <f t="shared" ca="1" si="265"/>
        <v>0</v>
      </c>
      <c r="T340" s="43">
        <f t="shared" ca="1" si="256"/>
        <v>0</v>
      </c>
      <c r="U340" s="43">
        <f t="shared" ca="1" si="257"/>
        <v>0</v>
      </c>
    </row>
    <row r="341" spans="1:21" ht="18.75" x14ac:dyDescent="0.25">
      <c r="A341" s="126"/>
      <c r="B341" s="37"/>
      <c r="C341" s="37"/>
      <c r="D341" s="37"/>
      <c r="E341" s="44" t="s">
        <v>20</v>
      </c>
      <c r="F341" s="37"/>
      <c r="G341" s="39"/>
      <c r="H341" s="132" t="s">
        <v>14</v>
      </c>
      <c r="I341" s="133"/>
      <c r="J341" s="133"/>
      <c r="K341" s="134"/>
      <c r="L341" s="43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1" s="43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1" s="43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1" s="43">
        <f t="shared" ca="1" si="253"/>
        <v>0</v>
      </c>
      <c r="P341" s="43">
        <f t="shared" ca="1" si="254"/>
        <v>0</v>
      </c>
      <c r="Q341" s="45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1" s="45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1" s="45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1" s="45">
        <f t="shared" ca="1" si="256"/>
        <v>0</v>
      </c>
      <c r="U341" s="45">
        <f t="shared" ca="1" si="257"/>
        <v>0</v>
      </c>
    </row>
    <row r="342" spans="1:21" ht="18.75" x14ac:dyDescent="0.25">
      <c r="A342" s="126"/>
      <c r="B342" s="37"/>
      <c r="C342" s="37"/>
      <c r="D342" s="37"/>
      <c r="E342" s="44" t="s">
        <v>21</v>
      </c>
      <c r="F342" s="37"/>
      <c r="G342" s="39"/>
      <c r="H342" s="135" t="s">
        <v>14</v>
      </c>
      <c r="I342" s="133"/>
      <c r="J342" s="133"/>
      <c r="K342" s="134"/>
      <c r="L342" s="43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2" s="43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2" s="43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2" s="43">
        <f t="shared" ca="1" si="253"/>
        <v>0</v>
      </c>
      <c r="P342" s="43">
        <f t="shared" ca="1" si="254"/>
        <v>0</v>
      </c>
      <c r="Q342" s="43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2" s="43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2" s="43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2" s="43">
        <f t="shared" ca="1" si="256"/>
        <v>0</v>
      </c>
      <c r="U342" s="43">
        <f t="shared" ca="1" si="257"/>
        <v>0</v>
      </c>
    </row>
    <row r="343" spans="1:21" ht="19.5" x14ac:dyDescent="0.3">
      <c r="A343" s="136"/>
      <c r="B343" s="137"/>
      <c r="C343" s="127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2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217"/>
      <c r="B344" s="220"/>
      <c r="C344" s="218"/>
      <c r="D344" s="220"/>
      <c r="E344" s="312" t="s">
        <v>137</v>
      </c>
      <c r="F344" s="220"/>
      <c r="G344" s="221"/>
      <c r="H344" s="222" t="s">
        <v>35</v>
      </c>
      <c r="I344" s="313">
        <v>0</v>
      </c>
      <c r="J344" s="223">
        <f ca="1">J345+J348+J349+J350</f>
        <v>29060</v>
      </c>
      <c r="K344" s="314">
        <v>0</v>
      </c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37"/>
      <c r="C345" s="156"/>
      <c r="D345" s="143"/>
      <c r="E345" s="164" t="s">
        <v>138</v>
      </c>
      <c r="F345" s="37"/>
      <c r="G345" s="39"/>
      <c r="H345" s="216" t="s">
        <v>35</v>
      </c>
      <c r="I345" s="165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31240)</f>
        <v>31240</v>
      </c>
      <c r="J345" s="165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27912)</f>
        <v>27912</v>
      </c>
      <c r="K345" s="43">
        <f ca="1">IF(I345&gt;0,J345*100/I345,0)</f>
        <v>89.346991037131886</v>
      </c>
      <c r="L345" s="42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37"/>
      <c r="C346" s="156"/>
      <c r="D346" s="143"/>
      <c r="E346" s="164" t="s">
        <v>139</v>
      </c>
      <c r="F346" s="37"/>
      <c r="G346" s="39"/>
      <c r="H346" s="181"/>
      <c r="I346" s="41"/>
      <c r="J346" s="41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37"/>
      <c r="C347" s="156"/>
      <c r="D347" s="143"/>
      <c r="E347" s="143"/>
      <c r="F347" s="164" t="s">
        <v>140</v>
      </c>
      <c r="G347" s="39"/>
      <c r="H347" s="176" t="s">
        <v>141</v>
      </c>
      <c r="I347" s="165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73)</f>
        <v>73</v>
      </c>
      <c r="J347" s="165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47)</f>
        <v>47</v>
      </c>
      <c r="K347" s="43">
        <f ca="1">IF(I347&gt;0,J347*100/I347,0)</f>
        <v>64.38356164383562</v>
      </c>
      <c r="L347" s="42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37"/>
      <c r="C348" s="156"/>
      <c r="D348" s="143"/>
      <c r="E348" s="143"/>
      <c r="F348" s="164" t="s">
        <v>142</v>
      </c>
      <c r="G348" s="39"/>
      <c r="H348" s="176" t="s">
        <v>35</v>
      </c>
      <c r="I348" s="41"/>
      <c r="J348" s="165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823)</f>
        <v>823</v>
      </c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37"/>
      <c r="C349" s="156"/>
      <c r="D349" s="143"/>
      <c r="E349" s="164" t="s">
        <v>143</v>
      </c>
      <c r="F349" s="143"/>
      <c r="G349" s="39"/>
      <c r="H349" s="176" t="s">
        <v>35</v>
      </c>
      <c r="I349" s="41"/>
      <c r="J349" s="165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255)</f>
        <v>255</v>
      </c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37"/>
      <c r="C350" s="156"/>
      <c r="D350" s="137"/>
      <c r="E350" s="164" t="s">
        <v>144</v>
      </c>
      <c r="F350" s="143"/>
      <c r="G350" s="39"/>
      <c r="H350" s="176" t="s">
        <v>35</v>
      </c>
      <c r="I350" s="41"/>
      <c r="J350" s="165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70)</f>
        <v>70</v>
      </c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3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37"/>
      <c r="F351" s="37"/>
      <c r="G351" s="39"/>
      <c r="H351" s="181"/>
      <c r="I351" s="41"/>
      <c r="J351" s="41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316" t="s">
        <v>145</v>
      </c>
      <c r="F352" s="220"/>
      <c r="G352" s="221"/>
      <c r="H352" s="222" t="s">
        <v>35</v>
      </c>
      <c r="I352" s="313">
        <v>0</v>
      </c>
      <c r="J352" s="223">
        <f ca="1">J353+J354</f>
        <v>72808</v>
      </c>
      <c r="K352" s="314">
        <v>0</v>
      </c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37"/>
      <c r="C353" s="156"/>
      <c r="D353" s="143"/>
      <c r="E353" s="164" t="s">
        <v>146</v>
      </c>
      <c r="F353" s="37"/>
      <c r="G353" s="39"/>
      <c r="H353" s="131" t="s">
        <v>35</v>
      </c>
      <c r="I353" s="41"/>
      <c r="J353" s="165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32781)</f>
        <v>32781</v>
      </c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37"/>
      <c r="C354" s="156"/>
      <c r="D354" s="143"/>
      <c r="E354" s="164" t="s">
        <v>147</v>
      </c>
      <c r="F354" s="37"/>
      <c r="G354" s="39"/>
      <c r="H354" s="131" t="s">
        <v>35</v>
      </c>
      <c r="I354" s="41"/>
      <c r="J354" s="165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40027)</f>
        <v>40027</v>
      </c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3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37"/>
      <c r="F355" s="37"/>
      <c r="G355" s="39"/>
      <c r="H355" s="181"/>
      <c r="I355" s="41"/>
      <c r="J355" s="41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37"/>
      <c r="C357" s="127" t="s">
        <v>18</v>
      </c>
      <c r="D357" s="128" t="s">
        <v>19</v>
      </c>
      <c r="E357" s="37"/>
      <c r="F357" s="37"/>
      <c r="G357" s="39"/>
      <c r="H357" s="129" t="s">
        <v>14</v>
      </c>
      <c r="I357" s="41"/>
      <c r="J357" s="41"/>
      <c r="K357" s="42"/>
      <c r="L357" s="130">
        <f t="shared" ref="L357:N357" ca="1" si="266">L358+L359</f>
        <v>9127945</v>
      </c>
      <c r="M357" s="130">
        <f t="shared" ca="1" si="266"/>
        <v>9179405</v>
      </c>
      <c r="N357" s="130">
        <f t="shared" ca="1" si="266"/>
        <v>3797306.3</v>
      </c>
      <c r="O357" s="130">
        <f t="shared" ref="O357:O365" ca="1" si="267">IF(L357&gt;0,N357*100/L357,0)</f>
        <v>41.600889356804842</v>
      </c>
      <c r="P357" s="130">
        <f t="shared" ref="P357:P365" ca="1" si="268">IF(M357&gt;0,N357*100/M357,0)</f>
        <v>41.367673612832206</v>
      </c>
      <c r="Q357" s="130">
        <f t="shared" ref="Q357:S357" ca="1" si="269">Q358+Q359</f>
        <v>0</v>
      </c>
      <c r="R357" s="130">
        <f t="shared" ca="1" si="269"/>
        <v>0</v>
      </c>
      <c r="S357" s="130">
        <f t="shared" ca="1" si="269"/>
        <v>0</v>
      </c>
      <c r="T357" s="130">
        <f t="shared" ref="T357:T365" ca="1" si="270">IF(Q357&gt;0,S357*100/Q357,0)</f>
        <v>0</v>
      </c>
      <c r="U357" s="130">
        <f t="shared" ref="U357:U365" ca="1" si="271">IF(R357&gt;0,S357*100/R357,0)</f>
        <v>0</v>
      </c>
    </row>
    <row r="358" spans="1:21" ht="18.75" x14ac:dyDescent="0.25">
      <c r="A358" s="126"/>
      <c r="B358" s="37"/>
      <c r="C358" s="37"/>
      <c r="D358" s="37"/>
      <c r="E358" s="44" t="s">
        <v>20</v>
      </c>
      <c r="F358" s="37"/>
      <c r="G358" s="39"/>
      <c r="H358" s="131" t="s">
        <v>14</v>
      </c>
      <c r="I358" s="41"/>
      <c r="J358" s="41"/>
      <c r="K358" s="42"/>
      <c r="L358" s="43">
        <f t="shared" ref="L358:N358" ca="1" si="272">L361+L364</f>
        <v>0</v>
      </c>
      <c r="M358" s="43">
        <f t="shared" ca="1" si="272"/>
        <v>0</v>
      </c>
      <c r="N358" s="43">
        <f t="shared" ca="1" si="272"/>
        <v>0</v>
      </c>
      <c r="O358" s="43">
        <f t="shared" ca="1" si="267"/>
        <v>0</v>
      </c>
      <c r="P358" s="43">
        <f t="shared" ca="1" si="268"/>
        <v>0</v>
      </c>
      <c r="Q358" s="45">
        <f t="shared" ref="Q358:S358" ca="1" si="273">Q361+Q364</f>
        <v>0</v>
      </c>
      <c r="R358" s="45">
        <f t="shared" ca="1" si="273"/>
        <v>0</v>
      </c>
      <c r="S358" s="45">
        <f t="shared" ca="1" si="273"/>
        <v>0</v>
      </c>
      <c r="T358" s="45">
        <f t="shared" ca="1" si="270"/>
        <v>0</v>
      </c>
      <c r="U358" s="45">
        <f t="shared" ca="1" si="271"/>
        <v>0</v>
      </c>
    </row>
    <row r="359" spans="1:21" ht="18.75" x14ac:dyDescent="0.25">
      <c r="A359" s="126"/>
      <c r="B359" s="37"/>
      <c r="C359" s="37"/>
      <c r="D359" s="37"/>
      <c r="E359" s="44" t="s">
        <v>21</v>
      </c>
      <c r="F359" s="37"/>
      <c r="G359" s="39"/>
      <c r="H359" s="131" t="s">
        <v>14</v>
      </c>
      <c r="I359" s="41"/>
      <c r="J359" s="41"/>
      <c r="K359" s="42"/>
      <c r="L359" s="43">
        <f t="shared" ref="L359:N359" ca="1" si="274">L362+L365</f>
        <v>9127945</v>
      </c>
      <c r="M359" s="43">
        <f t="shared" ca="1" si="274"/>
        <v>9179405</v>
      </c>
      <c r="N359" s="43">
        <f t="shared" ca="1" si="274"/>
        <v>3797306.3</v>
      </c>
      <c r="O359" s="43">
        <f t="shared" ca="1" si="267"/>
        <v>41.600889356804842</v>
      </c>
      <c r="P359" s="43">
        <f t="shared" ca="1" si="268"/>
        <v>41.367673612832206</v>
      </c>
      <c r="Q359" s="43">
        <f t="shared" ref="Q359:S359" ca="1" si="275">Q362+Q365</f>
        <v>0</v>
      </c>
      <c r="R359" s="43">
        <f t="shared" ca="1" si="275"/>
        <v>0</v>
      </c>
      <c r="S359" s="43">
        <f t="shared" ca="1" si="275"/>
        <v>0</v>
      </c>
      <c r="T359" s="43">
        <f t="shared" ca="1" si="270"/>
        <v>0</v>
      </c>
      <c r="U359" s="43">
        <f t="shared" ca="1" si="271"/>
        <v>0</v>
      </c>
    </row>
    <row r="360" spans="1:21" ht="18.75" x14ac:dyDescent="0.25">
      <c r="A360" s="126"/>
      <c r="B360" s="37"/>
      <c r="C360" s="37"/>
      <c r="D360" s="38" t="s">
        <v>22</v>
      </c>
      <c r="E360" s="37"/>
      <c r="F360" s="37"/>
      <c r="G360" s="39"/>
      <c r="H360" s="132" t="s">
        <v>14</v>
      </c>
      <c r="I360" s="133"/>
      <c r="J360" s="133"/>
      <c r="K360" s="134"/>
      <c r="L360" s="43">
        <f t="shared" ref="L360:N360" ca="1" si="276">L361+L362</f>
        <v>9127945</v>
      </c>
      <c r="M360" s="43">
        <f t="shared" ca="1" si="276"/>
        <v>9179405</v>
      </c>
      <c r="N360" s="43">
        <f t="shared" ca="1" si="276"/>
        <v>3797306.3</v>
      </c>
      <c r="O360" s="43">
        <f t="shared" ca="1" si="267"/>
        <v>41.600889356804842</v>
      </c>
      <c r="P360" s="43">
        <f t="shared" ca="1" si="268"/>
        <v>41.367673612832206</v>
      </c>
      <c r="Q360" s="43">
        <f t="shared" ref="Q360:S360" ca="1" si="277">Q361+Q362</f>
        <v>0</v>
      </c>
      <c r="R360" s="43">
        <f t="shared" ca="1" si="277"/>
        <v>0</v>
      </c>
      <c r="S360" s="43">
        <f t="shared" ca="1" si="277"/>
        <v>0</v>
      </c>
      <c r="T360" s="43">
        <f t="shared" ca="1" si="270"/>
        <v>0</v>
      </c>
      <c r="U360" s="43">
        <f t="shared" ca="1" si="271"/>
        <v>0</v>
      </c>
    </row>
    <row r="361" spans="1:21" ht="18.75" x14ac:dyDescent="0.25">
      <c r="A361" s="126"/>
      <c r="B361" s="37"/>
      <c r="C361" s="37"/>
      <c r="D361" s="37"/>
      <c r="E361" s="44" t="s">
        <v>36</v>
      </c>
      <c r="F361" s="37"/>
      <c r="G361" s="39"/>
      <c r="H361" s="132" t="s">
        <v>14</v>
      </c>
      <c r="I361" s="133"/>
      <c r="J361" s="133"/>
      <c r="K361" s="134"/>
      <c r="L361" s="43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1" s="43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1" s="43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1" s="43">
        <f t="shared" ca="1" si="267"/>
        <v>0</v>
      </c>
      <c r="P361" s="43">
        <f t="shared" ca="1" si="268"/>
        <v>0</v>
      </c>
      <c r="Q361" s="45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1" s="45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1" s="45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1" s="45">
        <f t="shared" ca="1" si="270"/>
        <v>0</v>
      </c>
      <c r="U361" s="45">
        <f t="shared" ca="1" si="271"/>
        <v>0</v>
      </c>
    </row>
    <row r="362" spans="1:21" ht="18.75" x14ac:dyDescent="0.25">
      <c r="A362" s="126"/>
      <c r="B362" s="37"/>
      <c r="C362" s="37"/>
      <c r="D362" s="37"/>
      <c r="E362" s="44" t="s">
        <v>37</v>
      </c>
      <c r="F362" s="37"/>
      <c r="G362" s="39"/>
      <c r="H362" s="132" t="s">
        <v>14</v>
      </c>
      <c r="I362" s="133"/>
      <c r="J362" s="133"/>
      <c r="K362" s="134"/>
      <c r="L362" s="43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9127945)</f>
        <v>9127945</v>
      </c>
      <c r="M362" s="43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9179405)</f>
        <v>9179405</v>
      </c>
      <c r="N362" s="43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3797306.3)</f>
        <v>3797306.3</v>
      </c>
      <c r="O362" s="43">
        <f t="shared" ca="1" si="267"/>
        <v>41.600889356804842</v>
      </c>
      <c r="P362" s="43">
        <f t="shared" ca="1" si="268"/>
        <v>41.367673612832206</v>
      </c>
      <c r="Q362" s="43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2" s="43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2" s="43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2" s="43">
        <f t="shared" ca="1" si="270"/>
        <v>0</v>
      </c>
      <c r="U362" s="43">
        <f t="shared" ca="1" si="271"/>
        <v>0</v>
      </c>
    </row>
    <row r="363" spans="1:21" ht="18.75" x14ac:dyDescent="0.25">
      <c r="A363" s="126"/>
      <c r="B363" s="37"/>
      <c r="C363" s="37"/>
      <c r="D363" s="38" t="s">
        <v>23</v>
      </c>
      <c r="E363" s="37"/>
      <c r="F363" s="37"/>
      <c r="G363" s="39"/>
      <c r="H363" s="135" t="s">
        <v>14</v>
      </c>
      <c r="I363" s="133"/>
      <c r="J363" s="133"/>
      <c r="K363" s="134"/>
      <c r="L363" s="43">
        <f t="shared" ref="L363:N363" ca="1" si="278">L364+L365</f>
        <v>0</v>
      </c>
      <c r="M363" s="43">
        <f t="shared" ca="1" si="278"/>
        <v>0</v>
      </c>
      <c r="N363" s="43">
        <f t="shared" ca="1" si="278"/>
        <v>0</v>
      </c>
      <c r="O363" s="43">
        <f t="shared" ca="1" si="267"/>
        <v>0</v>
      </c>
      <c r="P363" s="43">
        <f t="shared" ca="1" si="268"/>
        <v>0</v>
      </c>
      <c r="Q363" s="43">
        <f t="shared" ref="Q363:S363" ca="1" si="279">Q364+Q365</f>
        <v>0</v>
      </c>
      <c r="R363" s="43">
        <f t="shared" ca="1" si="279"/>
        <v>0</v>
      </c>
      <c r="S363" s="43">
        <f t="shared" ca="1" si="279"/>
        <v>0</v>
      </c>
      <c r="T363" s="43">
        <f t="shared" ca="1" si="270"/>
        <v>0</v>
      </c>
      <c r="U363" s="43">
        <f t="shared" ca="1" si="271"/>
        <v>0</v>
      </c>
    </row>
    <row r="364" spans="1:21" ht="18.75" x14ac:dyDescent="0.25">
      <c r="A364" s="126"/>
      <c r="B364" s="37"/>
      <c r="C364" s="37"/>
      <c r="D364" s="37"/>
      <c r="E364" s="44" t="s">
        <v>20</v>
      </c>
      <c r="F364" s="37"/>
      <c r="G364" s="39"/>
      <c r="H364" s="132" t="s">
        <v>14</v>
      </c>
      <c r="I364" s="133"/>
      <c r="J364" s="133"/>
      <c r="K364" s="134"/>
      <c r="L364" s="43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4" s="43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4" s="43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4" s="43">
        <f t="shared" ca="1" si="267"/>
        <v>0</v>
      </c>
      <c r="P364" s="43">
        <f t="shared" ca="1" si="268"/>
        <v>0</v>
      </c>
      <c r="Q364" s="45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4" s="45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4" s="45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4" s="45">
        <f t="shared" ca="1" si="270"/>
        <v>0</v>
      </c>
      <c r="U364" s="45">
        <f t="shared" ca="1" si="271"/>
        <v>0</v>
      </c>
    </row>
    <row r="365" spans="1:21" ht="18.75" x14ac:dyDescent="0.25">
      <c r="A365" s="126"/>
      <c r="B365" s="37"/>
      <c r="C365" s="37"/>
      <c r="D365" s="37"/>
      <c r="E365" s="44" t="s">
        <v>21</v>
      </c>
      <c r="F365" s="37"/>
      <c r="G365" s="39"/>
      <c r="H365" s="135" t="s">
        <v>14</v>
      </c>
      <c r="I365" s="133"/>
      <c r="J365" s="133"/>
      <c r="K365" s="134"/>
      <c r="L365" s="43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5" s="43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5" s="43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5" s="43">
        <f t="shared" ca="1" si="267"/>
        <v>0</v>
      </c>
      <c r="P365" s="43">
        <f t="shared" ca="1" si="268"/>
        <v>0</v>
      </c>
      <c r="Q365" s="43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5" s="43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5" s="43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5" s="43">
        <f t="shared" ca="1" si="270"/>
        <v>0</v>
      </c>
      <c r="U365" s="43">
        <f t="shared" ca="1" si="271"/>
        <v>0</v>
      </c>
    </row>
    <row r="366" spans="1:21" ht="19.5" x14ac:dyDescent="0.3">
      <c r="A366" s="217"/>
      <c r="B366" s="218"/>
      <c r="C366" s="220"/>
      <c r="D366" s="316" t="s">
        <v>149</v>
      </c>
      <c r="E366" s="220"/>
      <c r="F366" s="220"/>
      <c r="G366" s="221"/>
      <c r="H366" s="318" t="s">
        <v>35</v>
      </c>
      <c r="I366" s="223">
        <f t="shared" ref="I366:J366" ca="1" si="280">I372</f>
        <v>4260</v>
      </c>
      <c r="J366" s="223">
        <f t="shared" ca="1" si="280"/>
        <v>3069</v>
      </c>
      <c r="K366" s="224">
        <f ca="1">IF(I366&gt;0,J366*100/I366,0)</f>
        <v>72.042253521126767</v>
      </c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27" t="s">
        <v>18</v>
      </c>
      <c r="D367" s="138" t="s">
        <v>38</v>
      </c>
      <c r="E367" s="139"/>
      <c r="F367" s="139"/>
      <c r="G367" s="140"/>
      <c r="H367" s="141"/>
      <c r="I367" s="41"/>
      <c r="J367" s="41"/>
      <c r="K367" s="42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43"/>
      <c r="C368" s="137"/>
      <c r="D368" s="143"/>
      <c r="E368" s="142" t="s">
        <v>150</v>
      </c>
      <c r="F368" s="143"/>
      <c r="G368" s="141"/>
      <c r="H368" s="151" t="s">
        <v>35</v>
      </c>
      <c r="I368" s="189">
        <v>0</v>
      </c>
      <c r="J368" s="165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1601)</f>
        <v>1601</v>
      </c>
      <c r="K368" s="43">
        <f t="shared" ref="K368:K373" si="281">IF(I368&gt;0,J368*100/I368,0)</f>
        <v>0</v>
      </c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43"/>
      <c r="C369" s="137"/>
      <c r="D369" s="143"/>
      <c r="E369" s="143"/>
      <c r="F369" s="143"/>
      <c r="G369" s="141"/>
      <c r="H369" s="151" t="s">
        <v>46</v>
      </c>
      <c r="I369" s="165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35340)</f>
        <v>35340</v>
      </c>
      <c r="J369" s="165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11603.0199999999)</f>
        <v>11603.0199999999</v>
      </c>
      <c r="K369" s="43">
        <f t="shared" ca="1" si="281"/>
        <v>32.832541029994054</v>
      </c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43"/>
      <c r="C370" s="137"/>
      <c r="D370" s="143"/>
      <c r="E370" s="142" t="s">
        <v>151</v>
      </c>
      <c r="F370" s="143"/>
      <c r="G370" s="141"/>
      <c r="H370" s="148" t="s">
        <v>35</v>
      </c>
      <c r="I370" s="165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6265)</f>
        <v>6265</v>
      </c>
      <c r="J370" s="165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3693)</f>
        <v>3693</v>
      </c>
      <c r="K370" s="43">
        <f t="shared" ca="1" si="281"/>
        <v>58.94652833200319</v>
      </c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43"/>
      <c r="C371" s="137"/>
      <c r="D371" s="143"/>
      <c r="E371" s="143"/>
      <c r="F371" s="143"/>
      <c r="G371" s="141"/>
      <c r="H371" s="148" t="s">
        <v>46</v>
      </c>
      <c r="I371" s="189">
        <v>0</v>
      </c>
      <c r="J371" s="165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38427.56)</f>
        <v>38427.56</v>
      </c>
      <c r="K371" s="43">
        <f t="shared" si="281"/>
        <v>0</v>
      </c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43"/>
      <c r="C372" s="137"/>
      <c r="D372" s="143"/>
      <c r="E372" s="319" t="s">
        <v>152</v>
      </c>
      <c r="F372" s="143"/>
      <c r="G372" s="141"/>
      <c r="H372" s="148" t="s">
        <v>35</v>
      </c>
      <c r="I372" s="165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4260)</f>
        <v>4260</v>
      </c>
      <c r="J372" s="165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3069)</f>
        <v>3069</v>
      </c>
      <c r="K372" s="43">
        <f t="shared" ca="1" si="281"/>
        <v>72.042253521126767</v>
      </c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43"/>
      <c r="C373" s="137"/>
      <c r="D373" s="143"/>
      <c r="E373" s="143"/>
      <c r="F373" s="143"/>
      <c r="G373" s="141"/>
      <c r="H373" s="148" t="s">
        <v>46</v>
      </c>
      <c r="I373" s="189">
        <v>0</v>
      </c>
      <c r="J373" s="165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33820.32)</f>
        <v>33820.32</v>
      </c>
      <c r="K373" s="43">
        <f t="shared" si="281"/>
        <v>0</v>
      </c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308"/>
      <c r="B375" s="321" t="s">
        <v>153</v>
      </c>
      <c r="C375" s="309"/>
      <c r="D375" s="310"/>
      <c r="E375" s="302"/>
      <c r="F375" s="302"/>
      <c r="G375" s="303"/>
      <c r="H375" s="322" t="s">
        <v>46</v>
      </c>
      <c r="I375" s="305">
        <f ca="1">I386</f>
        <v>0</v>
      </c>
      <c r="J375" s="305">
        <f ca="1">J387+J389</f>
        <v>4437</v>
      </c>
      <c r="K375" s="306">
        <f ca="1">IF(I375&gt;0,J375*100/I375,0)</f>
        <v>0</v>
      </c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159" t="s">
        <v>18</v>
      </c>
      <c r="D376" s="323" t="s">
        <v>19</v>
      </c>
      <c r="E376" s="156"/>
      <c r="F376" s="156"/>
      <c r="G376" s="181"/>
      <c r="H376" s="129" t="s">
        <v>14</v>
      </c>
      <c r="I376" s="41"/>
      <c r="J376" s="41"/>
      <c r="K376" s="42"/>
      <c r="L376" s="130">
        <f t="shared" ref="L376:N376" ca="1" si="282">L377+L378</f>
        <v>0</v>
      </c>
      <c r="M376" s="130">
        <f t="shared" ca="1" si="282"/>
        <v>0</v>
      </c>
      <c r="N376" s="130">
        <f t="shared" ca="1" si="282"/>
        <v>0</v>
      </c>
      <c r="O376" s="130">
        <f t="shared" ref="O376:O384" ca="1" si="283">IF(L376&gt;0,N376*100/L376,0)</f>
        <v>0</v>
      </c>
      <c r="P376" s="130">
        <f t="shared" ref="P376:P384" ca="1" si="284">IF(M376&gt;0,N376*100/M376,0)</f>
        <v>0</v>
      </c>
      <c r="Q376" s="130">
        <f t="shared" ref="Q376:S376" ca="1" si="285">Q377+Q378</f>
        <v>2437500</v>
      </c>
      <c r="R376" s="130">
        <f t="shared" ca="1" si="285"/>
        <v>0</v>
      </c>
      <c r="S376" s="130">
        <f t="shared" ca="1" si="285"/>
        <v>0</v>
      </c>
      <c r="T376" s="130">
        <f t="shared" ref="T376:T384" ca="1" si="286">IF(Q376&gt;0,S376*100/Q376,0)</f>
        <v>0</v>
      </c>
      <c r="U376" s="130">
        <f t="shared" ref="U376:U384" ca="1" si="287">IF(R376&gt;0,S376*100/R376,0)</f>
        <v>0</v>
      </c>
    </row>
    <row r="377" spans="1:21" ht="18.75" x14ac:dyDescent="0.25">
      <c r="A377" s="126"/>
      <c r="B377" s="156"/>
      <c r="C377" s="156"/>
      <c r="D377" s="156"/>
      <c r="E377" s="154" t="s">
        <v>20</v>
      </c>
      <c r="F377" s="37"/>
      <c r="G377" s="39"/>
      <c r="H377" s="155" t="s">
        <v>14</v>
      </c>
      <c r="I377" s="41"/>
      <c r="J377" s="41"/>
      <c r="K377" s="42"/>
      <c r="L377" s="45">
        <f t="shared" ref="L377:N377" ca="1" si="288">L380+L383</f>
        <v>0</v>
      </c>
      <c r="M377" s="45">
        <f t="shared" ca="1" si="288"/>
        <v>0</v>
      </c>
      <c r="N377" s="45">
        <f t="shared" ca="1" si="288"/>
        <v>0</v>
      </c>
      <c r="O377" s="45">
        <f t="shared" ca="1" si="283"/>
        <v>0</v>
      </c>
      <c r="P377" s="45">
        <f t="shared" ca="1" si="284"/>
        <v>0</v>
      </c>
      <c r="Q377" s="45">
        <f t="shared" ref="Q377:S377" ca="1" si="289">Q380+Q383</f>
        <v>0</v>
      </c>
      <c r="R377" s="45">
        <f t="shared" ca="1" si="289"/>
        <v>0</v>
      </c>
      <c r="S377" s="45">
        <f t="shared" ca="1" si="289"/>
        <v>0</v>
      </c>
      <c r="T377" s="45">
        <f t="shared" ca="1" si="286"/>
        <v>0</v>
      </c>
      <c r="U377" s="45">
        <f t="shared" ca="1" si="287"/>
        <v>0</v>
      </c>
    </row>
    <row r="378" spans="1:21" ht="18.75" x14ac:dyDescent="0.25">
      <c r="A378" s="126"/>
      <c r="B378" s="156"/>
      <c r="C378" s="156"/>
      <c r="D378" s="156"/>
      <c r="E378" s="44" t="s">
        <v>21</v>
      </c>
      <c r="F378" s="37"/>
      <c r="G378" s="39"/>
      <c r="H378" s="131" t="s">
        <v>14</v>
      </c>
      <c r="I378" s="41"/>
      <c r="J378" s="41"/>
      <c r="K378" s="42"/>
      <c r="L378" s="43">
        <f t="shared" ref="L378:N378" ca="1" si="290">L381+L384</f>
        <v>0</v>
      </c>
      <c r="M378" s="43">
        <f t="shared" ca="1" si="290"/>
        <v>0</v>
      </c>
      <c r="N378" s="43">
        <f t="shared" ca="1" si="290"/>
        <v>0</v>
      </c>
      <c r="O378" s="43">
        <f t="shared" ca="1" si="283"/>
        <v>0</v>
      </c>
      <c r="P378" s="43">
        <f t="shared" ca="1" si="284"/>
        <v>0</v>
      </c>
      <c r="Q378" s="43">
        <f t="shared" ref="Q378:S378" ca="1" si="291">Q381+Q384</f>
        <v>2437500</v>
      </c>
      <c r="R378" s="43">
        <f t="shared" ca="1" si="291"/>
        <v>0</v>
      </c>
      <c r="S378" s="43">
        <f t="shared" ca="1" si="291"/>
        <v>0</v>
      </c>
      <c r="T378" s="43">
        <f t="shared" ca="1" si="286"/>
        <v>0</v>
      </c>
      <c r="U378" s="43">
        <f t="shared" ca="1" si="287"/>
        <v>0</v>
      </c>
    </row>
    <row r="379" spans="1:21" ht="18.75" x14ac:dyDescent="0.25">
      <c r="A379" s="126"/>
      <c r="B379" s="156"/>
      <c r="C379" s="156"/>
      <c r="D379" s="158" t="s">
        <v>22</v>
      </c>
      <c r="E379" s="37"/>
      <c r="F379" s="37"/>
      <c r="G379" s="39"/>
      <c r="H379" s="132" t="s">
        <v>14</v>
      </c>
      <c r="I379" s="133"/>
      <c r="J379" s="133"/>
      <c r="K379" s="134"/>
      <c r="L379" s="43">
        <f t="shared" ref="L379:N379" ca="1" si="292">L380+L381</f>
        <v>0</v>
      </c>
      <c r="M379" s="43">
        <f t="shared" ca="1" si="292"/>
        <v>0</v>
      </c>
      <c r="N379" s="43">
        <f t="shared" ca="1" si="292"/>
        <v>0</v>
      </c>
      <c r="O379" s="43">
        <f t="shared" ca="1" si="283"/>
        <v>0</v>
      </c>
      <c r="P379" s="43">
        <f t="shared" ca="1" si="284"/>
        <v>0</v>
      </c>
      <c r="Q379" s="43">
        <f t="shared" ref="Q379:S379" ca="1" si="293">Q380+Q381</f>
        <v>2437500</v>
      </c>
      <c r="R379" s="43">
        <f t="shared" ca="1" si="293"/>
        <v>0</v>
      </c>
      <c r="S379" s="43">
        <f t="shared" ca="1" si="293"/>
        <v>0</v>
      </c>
      <c r="T379" s="43">
        <f t="shared" ca="1" si="286"/>
        <v>0</v>
      </c>
      <c r="U379" s="43">
        <f t="shared" ca="1" si="287"/>
        <v>0</v>
      </c>
    </row>
    <row r="380" spans="1:21" ht="18.75" x14ac:dyDescent="0.25">
      <c r="A380" s="126"/>
      <c r="B380" s="156"/>
      <c r="C380" s="156"/>
      <c r="D380" s="156"/>
      <c r="E380" s="154" t="s">
        <v>36</v>
      </c>
      <c r="F380" s="37"/>
      <c r="G380" s="39"/>
      <c r="H380" s="157" t="s">
        <v>14</v>
      </c>
      <c r="I380" s="133"/>
      <c r="J380" s="133"/>
      <c r="K380" s="134"/>
      <c r="L380" s="45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80" s="45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80" s="45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80" s="45">
        <f t="shared" ca="1" si="283"/>
        <v>0</v>
      </c>
      <c r="P380" s="45">
        <f t="shared" ca="1" si="284"/>
        <v>0</v>
      </c>
      <c r="Q380" s="45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80" s="45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80" s="45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80" s="45">
        <f t="shared" ca="1" si="286"/>
        <v>0</v>
      </c>
      <c r="U380" s="45">
        <f t="shared" ca="1" si="287"/>
        <v>0</v>
      </c>
    </row>
    <row r="381" spans="1:21" ht="18.75" x14ac:dyDescent="0.25">
      <c r="A381" s="126"/>
      <c r="B381" s="156"/>
      <c r="C381" s="156"/>
      <c r="D381" s="156"/>
      <c r="E381" s="215" t="s">
        <v>37</v>
      </c>
      <c r="F381" s="156"/>
      <c r="G381" s="181"/>
      <c r="H381" s="132" t="s">
        <v>14</v>
      </c>
      <c r="I381" s="133"/>
      <c r="J381" s="133"/>
      <c r="K381" s="134"/>
      <c r="L381" s="43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0)</f>
        <v>0</v>
      </c>
      <c r="M381" s="43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0)</f>
        <v>0</v>
      </c>
      <c r="N381" s="43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0)</f>
        <v>0</v>
      </c>
      <c r="O381" s="43">
        <f t="shared" ca="1" si="283"/>
        <v>0</v>
      </c>
      <c r="P381" s="43">
        <f t="shared" ca="1" si="284"/>
        <v>0</v>
      </c>
      <c r="Q381" s="43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1" s="43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0)</f>
        <v>0</v>
      </c>
      <c r="S381" s="43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0)</f>
        <v>0</v>
      </c>
      <c r="T381" s="43">
        <f t="shared" ca="1" si="286"/>
        <v>0</v>
      </c>
      <c r="U381" s="43">
        <f t="shared" ca="1" si="287"/>
        <v>0</v>
      </c>
    </row>
    <row r="382" spans="1:21" ht="18.75" x14ac:dyDescent="0.25">
      <c r="A382" s="126"/>
      <c r="B382" s="156"/>
      <c r="C382" s="156"/>
      <c r="D382" s="158" t="s">
        <v>23</v>
      </c>
      <c r="E382" s="37"/>
      <c r="F382" s="37"/>
      <c r="G382" s="39"/>
      <c r="H382" s="135" t="s">
        <v>14</v>
      </c>
      <c r="I382" s="133"/>
      <c r="J382" s="133"/>
      <c r="K382" s="134"/>
      <c r="L382" s="43">
        <f t="shared" ref="L382:N382" ca="1" si="294">L383+L384</f>
        <v>0</v>
      </c>
      <c r="M382" s="43">
        <f t="shared" ca="1" si="294"/>
        <v>0</v>
      </c>
      <c r="N382" s="43">
        <f t="shared" ca="1" si="294"/>
        <v>0</v>
      </c>
      <c r="O382" s="43">
        <f t="shared" ca="1" si="283"/>
        <v>0</v>
      </c>
      <c r="P382" s="43">
        <f t="shared" ca="1" si="284"/>
        <v>0</v>
      </c>
      <c r="Q382" s="43">
        <f t="shared" ref="Q382:S382" ca="1" si="295">Q383+Q384</f>
        <v>0</v>
      </c>
      <c r="R382" s="43">
        <f t="shared" ca="1" si="295"/>
        <v>0</v>
      </c>
      <c r="S382" s="43">
        <f t="shared" ca="1" si="295"/>
        <v>0</v>
      </c>
      <c r="T382" s="43">
        <f t="shared" ca="1" si="286"/>
        <v>0</v>
      </c>
      <c r="U382" s="43">
        <f t="shared" ca="1" si="287"/>
        <v>0</v>
      </c>
    </row>
    <row r="383" spans="1:21" ht="18.75" x14ac:dyDescent="0.25">
      <c r="A383" s="126"/>
      <c r="B383" s="156"/>
      <c r="C383" s="156"/>
      <c r="D383" s="156"/>
      <c r="E383" s="154" t="s">
        <v>20</v>
      </c>
      <c r="F383" s="37"/>
      <c r="G383" s="39"/>
      <c r="H383" s="157" t="s">
        <v>14</v>
      </c>
      <c r="I383" s="133"/>
      <c r="J383" s="133"/>
      <c r="K383" s="134"/>
      <c r="L383" s="45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3" s="45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3" s="45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3" s="45">
        <f t="shared" ca="1" si="283"/>
        <v>0</v>
      </c>
      <c r="P383" s="45">
        <f t="shared" ca="1" si="284"/>
        <v>0</v>
      </c>
      <c r="Q383" s="45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3" s="45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3" s="45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3" s="45">
        <f t="shared" ca="1" si="286"/>
        <v>0</v>
      </c>
      <c r="U383" s="45">
        <f t="shared" ca="1" si="287"/>
        <v>0</v>
      </c>
    </row>
    <row r="384" spans="1:21" ht="18.75" x14ac:dyDescent="0.25">
      <c r="A384" s="126"/>
      <c r="B384" s="156"/>
      <c r="C384" s="156"/>
      <c r="D384" s="156"/>
      <c r="E384" s="44" t="s">
        <v>21</v>
      </c>
      <c r="F384" s="37"/>
      <c r="G384" s="39"/>
      <c r="H384" s="135" t="s">
        <v>14</v>
      </c>
      <c r="I384" s="133"/>
      <c r="J384" s="133"/>
      <c r="K384" s="134"/>
      <c r="L384" s="43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4" s="43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4" s="43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4" s="43">
        <f t="shared" ca="1" si="283"/>
        <v>0</v>
      </c>
      <c r="P384" s="43">
        <f t="shared" ca="1" si="284"/>
        <v>0</v>
      </c>
      <c r="Q384" s="43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4" s="43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4" s="43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4" s="43">
        <f t="shared" ca="1" si="286"/>
        <v>0</v>
      </c>
      <c r="U384" s="43">
        <f t="shared" ca="1" si="287"/>
        <v>0</v>
      </c>
    </row>
    <row r="385" spans="1:21" ht="19.5" x14ac:dyDescent="0.3">
      <c r="A385" s="136"/>
      <c r="B385" s="137"/>
      <c r="C385" s="159" t="s">
        <v>18</v>
      </c>
      <c r="D385" s="324" t="s">
        <v>38</v>
      </c>
      <c r="E385" s="139"/>
      <c r="F385" s="139"/>
      <c r="G385" s="140"/>
      <c r="H385" s="179"/>
      <c r="I385" s="133"/>
      <c r="J385" s="41"/>
      <c r="K385" s="42"/>
      <c r="L385" s="42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44" t="s">
        <v>154</v>
      </c>
      <c r="F386" s="37"/>
      <c r="G386" s="39"/>
      <c r="H386" s="131" t="s">
        <v>34</v>
      </c>
      <c r="I386" s="165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6" s="165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117)</f>
        <v>117</v>
      </c>
      <c r="K386" s="43">
        <f t="shared" ref="K386:K389" ca="1" si="296">IF(I386&gt;0,J386*100/I386,0)</f>
        <v>0</v>
      </c>
      <c r="L386" s="42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65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7" s="165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1340)</f>
        <v>1340</v>
      </c>
      <c r="K387" s="43">
        <f t="shared" ca="1" si="296"/>
        <v>3.4358974358974357</v>
      </c>
      <c r="L387" s="42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156"/>
      <c r="B388" s="156"/>
      <c r="C388" s="156"/>
      <c r="D388" s="156"/>
      <c r="E388" s="325" t="s">
        <v>155</v>
      </c>
      <c r="F388" s="156"/>
      <c r="G388" s="181"/>
      <c r="H388" s="155" t="s">
        <v>34</v>
      </c>
      <c r="I388" s="326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8" s="326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567)</f>
        <v>567</v>
      </c>
      <c r="K388" s="45">
        <f t="shared" ca="1" si="296"/>
        <v>0</v>
      </c>
      <c r="L388" s="42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156"/>
      <c r="B389" s="156"/>
      <c r="C389" s="156"/>
      <c r="D389" s="156"/>
      <c r="E389" s="156"/>
      <c r="F389" s="156"/>
      <c r="G389" s="181"/>
      <c r="H389" s="155" t="s">
        <v>46</v>
      </c>
      <c r="I389" s="326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9" s="326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3097)</f>
        <v>3097</v>
      </c>
      <c r="K389" s="45">
        <f t="shared" ca="1" si="296"/>
        <v>3.5844907407407409</v>
      </c>
      <c r="L389" s="42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97">I403</f>
        <v>0</v>
      </c>
      <c r="J392" s="317">
        <f t="shared" si="297"/>
        <v>0</v>
      </c>
      <c r="K392" s="306">
        <f>IF(I392&gt;0,J392*100/I392,0)</f>
        <v>0</v>
      </c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x14ac:dyDescent="0.3">
      <c r="A393" s="126"/>
      <c r="B393" s="156"/>
      <c r="C393" s="159" t="s">
        <v>18</v>
      </c>
      <c r="D393" s="323" t="s">
        <v>19</v>
      </c>
      <c r="E393" s="37"/>
      <c r="F393" s="37"/>
      <c r="G393" s="39"/>
      <c r="H393" s="129" t="s">
        <v>14</v>
      </c>
      <c r="I393" s="41"/>
      <c r="J393" s="41"/>
      <c r="K393" s="42"/>
      <c r="L393" s="130">
        <f t="shared" ref="L393:N393" ca="1" si="298">L394+L395</f>
        <v>0</v>
      </c>
      <c r="M393" s="130">
        <f t="shared" ca="1" si="298"/>
        <v>0</v>
      </c>
      <c r="N393" s="130">
        <f t="shared" ca="1" si="298"/>
        <v>0</v>
      </c>
      <c r="O393" s="130">
        <f t="shared" ref="O393:O401" ca="1" si="299">IF(L393&gt;0,N393*100/L393,0)</f>
        <v>0</v>
      </c>
      <c r="P393" s="130">
        <f t="shared" ref="P393:P401" ca="1" si="300">IF(M393&gt;0,N393*100/M393,0)</f>
        <v>0</v>
      </c>
      <c r="Q393" s="130">
        <f t="shared" ref="Q393:S393" ca="1" si="301">Q394+Q395</f>
        <v>0</v>
      </c>
      <c r="R393" s="130">
        <f t="shared" ca="1" si="301"/>
        <v>0</v>
      </c>
      <c r="S393" s="130">
        <f t="shared" ca="1" si="301"/>
        <v>0</v>
      </c>
      <c r="T393" s="130">
        <f t="shared" ref="T393:T401" ca="1" si="302">IF(Q393&gt;0,S393*100/Q393,0)</f>
        <v>0</v>
      </c>
      <c r="U393" s="130">
        <f t="shared" ref="U393:U401" ca="1" si="303">IF(R393&gt;0,S393*100/R393,0)</f>
        <v>0</v>
      </c>
    </row>
    <row r="394" spans="1:21" ht="18.75" x14ac:dyDescent="0.25">
      <c r="A394" s="126"/>
      <c r="B394" s="156"/>
      <c r="C394" s="156"/>
      <c r="D394" s="156"/>
      <c r="E394" s="154" t="s">
        <v>20</v>
      </c>
      <c r="F394" s="37"/>
      <c r="G394" s="39"/>
      <c r="H394" s="155" t="s">
        <v>14</v>
      </c>
      <c r="I394" s="41"/>
      <c r="J394" s="41"/>
      <c r="K394" s="42"/>
      <c r="L394" s="45">
        <f t="shared" ref="L394:N394" ca="1" si="304">L397+L400</f>
        <v>0</v>
      </c>
      <c r="M394" s="45">
        <f t="shared" ca="1" si="304"/>
        <v>0</v>
      </c>
      <c r="N394" s="45">
        <f t="shared" ca="1" si="304"/>
        <v>0</v>
      </c>
      <c r="O394" s="45">
        <f t="shared" ca="1" si="299"/>
        <v>0</v>
      </c>
      <c r="P394" s="45">
        <f t="shared" ca="1" si="300"/>
        <v>0</v>
      </c>
      <c r="Q394" s="45">
        <f t="shared" ref="Q394:S394" ca="1" si="305">Q397+Q400</f>
        <v>0</v>
      </c>
      <c r="R394" s="45">
        <f t="shared" ca="1" si="305"/>
        <v>0</v>
      </c>
      <c r="S394" s="45">
        <f t="shared" ca="1" si="305"/>
        <v>0</v>
      </c>
      <c r="T394" s="45">
        <f t="shared" ca="1" si="302"/>
        <v>0</v>
      </c>
      <c r="U394" s="45">
        <f t="shared" ca="1" si="303"/>
        <v>0</v>
      </c>
    </row>
    <row r="395" spans="1:21" ht="18.75" x14ac:dyDescent="0.25">
      <c r="A395" s="126"/>
      <c r="B395" s="156"/>
      <c r="C395" s="156"/>
      <c r="D395" s="156"/>
      <c r="E395" s="44" t="s">
        <v>21</v>
      </c>
      <c r="F395" s="37"/>
      <c r="G395" s="39"/>
      <c r="H395" s="131" t="s">
        <v>14</v>
      </c>
      <c r="I395" s="41"/>
      <c r="J395" s="41"/>
      <c r="K395" s="42"/>
      <c r="L395" s="43">
        <f t="shared" ref="L395:N395" ca="1" si="306">L398+L401</f>
        <v>0</v>
      </c>
      <c r="M395" s="43">
        <f t="shared" ca="1" si="306"/>
        <v>0</v>
      </c>
      <c r="N395" s="43">
        <f t="shared" ca="1" si="306"/>
        <v>0</v>
      </c>
      <c r="O395" s="43">
        <f t="shared" ca="1" si="299"/>
        <v>0</v>
      </c>
      <c r="P395" s="43">
        <f t="shared" ca="1" si="300"/>
        <v>0</v>
      </c>
      <c r="Q395" s="43">
        <f t="shared" ref="Q395:S395" ca="1" si="307">Q398+Q401</f>
        <v>0</v>
      </c>
      <c r="R395" s="43">
        <f t="shared" ca="1" si="307"/>
        <v>0</v>
      </c>
      <c r="S395" s="43">
        <f t="shared" ca="1" si="307"/>
        <v>0</v>
      </c>
      <c r="T395" s="43">
        <f t="shared" ca="1" si="302"/>
        <v>0</v>
      </c>
      <c r="U395" s="43">
        <f t="shared" ca="1" si="303"/>
        <v>0</v>
      </c>
    </row>
    <row r="396" spans="1:21" ht="18.75" x14ac:dyDescent="0.25">
      <c r="A396" s="126"/>
      <c r="B396" s="156"/>
      <c r="C396" s="156"/>
      <c r="D396" s="158" t="s">
        <v>22</v>
      </c>
      <c r="E396" s="37"/>
      <c r="F396" s="37"/>
      <c r="G396" s="39"/>
      <c r="H396" s="132" t="s">
        <v>14</v>
      </c>
      <c r="I396" s="133"/>
      <c r="J396" s="133"/>
      <c r="K396" s="134"/>
      <c r="L396" s="43">
        <f t="shared" ref="L396:N396" ca="1" si="308">L397+L398</f>
        <v>0</v>
      </c>
      <c r="M396" s="43">
        <f t="shared" ca="1" si="308"/>
        <v>0</v>
      </c>
      <c r="N396" s="43">
        <f t="shared" ca="1" si="308"/>
        <v>0</v>
      </c>
      <c r="O396" s="43">
        <f t="shared" ca="1" si="299"/>
        <v>0</v>
      </c>
      <c r="P396" s="43">
        <f t="shared" ca="1" si="300"/>
        <v>0</v>
      </c>
      <c r="Q396" s="43">
        <f t="shared" ref="Q396:S396" ca="1" si="309">Q397+Q398</f>
        <v>0</v>
      </c>
      <c r="R396" s="43">
        <f t="shared" ca="1" si="309"/>
        <v>0</v>
      </c>
      <c r="S396" s="43">
        <f t="shared" ca="1" si="309"/>
        <v>0</v>
      </c>
      <c r="T396" s="43">
        <f t="shared" ca="1" si="302"/>
        <v>0</v>
      </c>
      <c r="U396" s="43">
        <f t="shared" ca="1" si="303"/>
        <v>0</v>
      </c>
    </row>
    <row r="397" spans="1:21" ht="18.75" x14ac:dyDescent="0.25">
      <c r="A397" s="126"/>
      <c r="B397" s="156"/>
      <c r="C397" s="156"/>
      <c r="D397" s="156"/>
      <c r="E397" s="154" t="s">
        <v>36</v>
      </c>
      <c r="F397" s="37"/>
      <c r="G397" s="39"/>
      <c r="H397" s="157" t="s">
        <v>14</v>
      </c>
      <c r="I397" s="133"/>
      <c r="J397" s="133"/>
      <c r="K397" s="134"/>
      <c r="L397" s="45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7" s="45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7" s="45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7" s="45">
        <f t="shared" ca="1" si="299"/>
        <v>0</v>
      </c>
      <c r="P397" s="45">
        <f t="shared" ca="1" si="300"/>
        <v>0</v>
      </c>
      <c r="Q397" s="45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7" s="45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7" s="45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7" s="45">
        <f t="shared" ca="1" si="302"/>
        <v>0</v>
      </c>
      <c r="U397" s="45">
        <f t="shared" ca="1" si="303"/>
        <v>0</v>
      </c>
    </row>
    <row r="398" spans="1:21" ht="18.75" x14ac:dyDescent="0.25">
      <c r="A398" s="126"/>
      <c r="B398" s="156"/>
      <c r="C398" s="156"/>
      <c r="D398" s="156"/>
      <c r="E398" s="215" t="s">
        <v>37</v>
      </c>
      <c r="F398" s="156"/>
      <c r="G398" s="181"/>
      <c r="H398" s="132" t="s">
        <v>14</v>
      </c>
      <c r="I398" s="133"/>
      <c r="J398" s="133"/>
      <c r="K398" s="134"/>
      <c r="L398" s="43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8" s="43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8" s="43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8" s="43">
        <f t="shared" ca="1" si="299"/>
        <v>0</v>
      </c>
      <c r="P398" s="43">
        <f t="shared" ca="1" si="300"/>
        <v>0</v>
      </c>
      <c r="Q398" s="43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8" s="43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8" s="43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8" s="43">
        <f t="shared" ca="1" si="302"/>
        <v>0</v>
      </c>
      <c r="U398" s="43">
        <f t="shared" ca="1" si="303"/>
        <v>0</v>
      </c>
    </row>
    <row r="399" spans="1:21" ht="18.75" x14ac:dyDescent="0.25">
      <c r="A399" s="126"/>
      <c r="B399" s="156"/>
      <c r="C399" s="156"/>
      <c r="D399" s="158" t="s">
        <v>23</v>
      </c>
      <c r="E399" s="37"/>
      <c r="F399" s="37"/>
      <c r="G399" s="39"/>
      <c r="H399" s="135" t="s">
        <v>14</v>
      </c>
      <c r="I399" s="133"/>
      <c r="J399" s="133"/>
      <c r="K399" s="134"/>
      <c r="L399" s="43">
        <f t="shared" ref="L399:N399" ca="1" si="310">L400+L401</f>
        <v>0</v>
      </c>
      <c r="M399" s="43">
        <f t="shared" ca="1" si="310"/>
        <v>0</v>
      </c>
      <c r="N399" s="43">
        <f t="shared" ca="1" si="310"/>
        <v>0</v>
      </c>
      <c r="O399" s="43">
        <f t="shared" ca="1" si="299"/>
        <v>0</v>
      </c>
      <c r="P399" s="43">
        <f t="shared" ca="1" si="300"/>
        <v>0</v>
      </c>
      <c r="Q399" s="43">
        <f t="shared" ref="Q399:S399" ca="1" si="311">Q400+Q401</f>
        <v>0</v>
      </c>
      <c r="R399" s="43">
        <f t="shared" ca="1" si="311"/>
        <v>0</v>
      </c>
      <c r="S399" s="43">
        <f t="shared" ca="1" si="311"/>
        <v>0</v>
      </c>
      <c r="T399" s="43">
        <f t="shared" ca="1" si="302"/>
        <v>0</v>
      </c>
      <c r="U399" s="43">
        <f t="shared" ca="1" si="303"/>
        <v>0</v>
      </c>
    </row>
    <row r="400" spans="1:21" ht="18.75" x14ac:dyDescent="0.25">
      <c r="A400" s="126"/>
      <c r="B400" s="156"/>
      <c r="C400" s="156"/>
      <c r="D400" s="156"/>
      <c r="E400" s="154" t="s">
        <v>20</v>
      </c>
      <c r="F400" s="37"/>
      <c r="G400" s="39"/>
      <c r="H400" s="157" t="s">
        <v>14</v>
      </c>
      <c r="I400" s="133"/>
      <c r="J400" s="133"/>
      <c r="K400" s="134"/>
      <c r="L400" s="45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400" s="45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400" s="45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400" s="45">
        <f t="shared" ca="1" si="299"/>
        <v>0</v>
      </c>
      <c r="P400" s="45">
        <f t="shared" ca="1" si="300"/>
        <v>0</v>
      </c>
      <c r="Q400" s="45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400" s="45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400" s="45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400" s="45">
        <f t="shared" ca="1" si="302"/>
        <v>0</v>
      </c>
      <c r="U400" s="45">
        <f t="shared" ca="1" si="303"/>
        <v>0</v>
      </c>
    </row>
    <row r="401" spans="1:21" ht="18.75" x14ac:dyDescent="0.25">
      <c r="A401" s="126"/>
      <c r="B401" s="156"/>
      <c r="C401" s="156"/>
      <c r="D401" s="156"/>
      <c r="E401" s="44" t="s">
        <v>21</v>
      </c>
      <c r="F401" s="37"/>
      <c r="G401" s="39"/>
      <c r="H401" s="135" t="s">
        <v>14</v>
      </c>
      <c r="I401" s="133"/>
      <c r="J401" s="133"/>
      <c r="K401" s="134"/>
      <c r="L401" s="43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1" s="43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1" s="43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1" s="43">
        <f t="shared" ca="1" si="299"/>
        <v>0</v>
      </c>
      <c r="P401" s="43">
        <f t="shared" ca="1" si="300"/>
        <v>0</v>
      </c>
      <c r="Q401" s="43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1" s="43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1" s="43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1" s="43">
        <f t="shared" ca="1" si="302"/>
        <v>0</v>
      </c>
      <c r="U401" s="43">
        <f t="shared" ca="1" si="303"/>
        <v>0</v>
      </c>
    </row>
    <row r="402" spans="1:21" ht="19.5" x14ac:dyDescent="0.3">
      <c r="A402" s="136"/>
      <c r="B402" s="137"/>
      <c r="C402" s="159" t="s">
        <v>18</v>
      </c>
      <c r="D402" s="324" t="s">
        <v>38</v>
      </c>
      <c r="E402" s="139"/>
      <c r="F402" s="139"/>
      <c r="G402" s="140"/>
      <c r="H402" s="179"/>
      <c r="I402" s="133"/>
      <c r="J402" s="41"/>
      <c r="K402" s="42"/>
      <c r="L402" s="42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305">
        <f t="shared" ref="I413:J413" ca="1" si="312">I424</f>
        <v>0</v>
      </c>
      <c r="J413" s="305">
        <f t="shared" ca="1" si="312"/>
        <v>0</v>
      </c>
      <c r="K413" s="306">
        <f ca="1">IF(I413&gt;0,J413*100/I413,0)</f>
        <v>0</v>
      </c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x14ac:dyDescent="0.3">
      <c r="A414" s="126"/>
      <c r="B414" s="156"/>
      <c r="C414" s="333" t="s">
        <v>18</v>
      </c>
      <c r="D414" s="823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130">
        <f t="shared" ref="L414:N414" ca="1" si="313">L415+L416</f>
        <v>0</v>
      </c>
      <c r="M414" s="130">
        <f t="shared" ca="1" si="313"/>
        <v>0</v>
      </c>
      <c r="N414" s="130">
        <f t="shared" ca="1" si="313"/>
        <v>0</v>
      </c>
      <c r="O414" s="130">
        <f t="shared" ref="O414:O422" ca="1" si="314">IF(L414&gt;0,N414*100/L414,0)</f>
        <v>0</v>
      </c>
      <c r="P414" s="130">
        <f t="shared" ref="P414:P422" ca="1" si="315">IF(M414&gt;0,N414*100/M414,0)</f>
        <v>0</v>
      </c>
      <c r="Q414" s="130">
        <f t="shared" ref="Q414:S414" ca="1" si="316">Q415+Q416</f>
        <v>0</v>
      </c>
      <c r="R414" s="130">
        <f t="shared" ca="1" si="316"/>
        <v>0</v>
      </c>
      <c r="S414" s="130">
        <f t="shared" ca="1" si="316"/>
        <v>0</v>
      </c>
      <c r="T414" s="130">
        <f t="shared" ref="T414:T422" ca="1" si="317">IF(Q414&gt;0,S414*100/Q414,0)</f>
        <v>0</v>
      </c>
      <c r="U414" s="130">
        <f t="shared" ref="U414:U422" ca="1" si="318">IF(R414&gt;0,S414*100/R414,0)</f>
        <v>0</v>
      </c>
    </row>
    <row r="415" spans="1:21" ht="18.75" x14ac:dyDescent="0.25">
      <c r="A415" s="126"/>
      <c r="B415" s="156"/>
      <c r="C415" s="156"/>
      <c r="D415" s="156"/>
      <c r="E415" s="325" t="s">
        <v>158</v>
      </c>
      <c r="F415" s="156"/>
      <c r="G415" s="181"/>
      <c r="H415" s="177" t="s">
        <v>14</v>
      </c>
      <c r="I415" s="41"/>
      <c r="J415" s="41"/>
      <c r="K415" s="42"/>
      <c r="L415" s="45">
        <f t="shared" ref="L415:N415" ca="1" si="319">L418+L421</f>
        <v>0</v>
      </c>
      <c r="M415" s="45">
        <f t="shared" ca="1" si="319"/>
        <v>0</v>
      </c>
      <c r="N415" s="45">
        <f t="shared" ca="1" si="319"/>
        <v>0</v>
      </c>
      <c r="O415" s="45">
        <f t="shared" ca="1" si="314"/>
        <v>0</v>
      </c>
      <c r="P415" s="45">
        <f t="shared" ca="1" si="315"/>
        <v>0</v>
      </c>
      <c r="Q415" s="45">
        <f t="shared" ref="Q415:S415" ca="1" si="320">Q418+Q421</f>
        <v>0</v>
      </c>
      <c r="R415" s="45">
        <f t="shared" ca="1" si="320"/>
        <v>0</v>
      </c>
      <c r="S415" s="45">
        <f t="shared" ca="1" si="320"/>
        <v>0</v>
      </c>
      <c r="T415" s="45">
        <f t="shared" ca="1" si="317"/>
        <v>0</v>
      </c>
      <c r="U415" s="45">
        <f t="shared" ca="1" si="318"/>
        <v>0</v>
      </c>
    </row>
    <row r="416" spans="1:21" ht="18.75" x14ac:dyDescent="0.25">
      <c r="A416" s="126"/>
      <c r="B416" s="156"/>
      <c r="C416" s="156"/>
      <c r="D416" s="156"/>
      <c r="E416" s="215" t="s">
        <v>159</v>
      </c>
      <c r="F416" s="156"/>
      <c r="G416" s="181"/>
      <c r="H416" s="176" t="s">
        <v>14</v>
      </c>
      <c r="I416" s="41"/>
      <c r="J416" s="41"/>
      <c r="K416" s="42"/>
      <c r="L416" s="43">
        <f t="shared" ref="L416:N416" ca="1" si="321">L419+L422</f>
        <v>0</v>
      </c>
      <c r="M416" s="43">
        <f t="shared" ca="1" si="321"/>
        <v>0</v>
      </c>
      <c r="N416" s="43">
        <f t="shared" ca="1" si="321"/>
        <v>0</v>
      </c>
      <c r="O416" s="43">
        <f t="shared" ca="1" si="314"/>
        <v>0</v>
      </c>
      <c r="P416" s="43">
        <f t="shared" ca="1" si="315"/>
        <v>0</v>
      </c>
      <c r="Q416" s="43">
        <f t="shared" ref="Q416:S416" ca="1" si="322">Q419+Q422</f>
        <v>0</v>
      </c>
      <c r="R416" s="43">
        <f t="shared" ca="1" si="322"/>
        <v>0</v>
      </c>
      <c r="S416" s="43">
        <f t="shared" ca="1" si="322"/>
        <v>0</v>
      </c>
      <c r="T416" s="43">
        <f t="shared" ca="1" si="317"/>
        <v>0</v>
      </c>
      <c r="U416" s="43">
        <f t="shared" ca="1" si="318"/>
        <v>0</v>
      </c>
    </row>
    <row r="417" spans="1:21" ht="19.5" x14ac:dyDescent="0.3">
      <c r="A417" s="126"/>
      <c r="B417" s="156"/>
      <c r="C417" s="156"/>
      <c r="D417" s="323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3">
        <f t="shared" ref="L417:N417" ca="1" si="323">L418+L419</f>
        <v>0</v>
      </c>
      <c r="M417" s="43">
        <f t="shared" ca="1" si="323"/>
        <v>0</v>
      </c>
      <c r="N417" s="43">
        <f t="shared" ca="1" si="323"/>
        <v>0</v>
      </c>
      <c r="O417" s="43">
        <f t="shared" ca="1" si="314"/>
        <v>0</v>
      </c>
      <c r="P417" s="43">
        <f t="shared" ca="1" si="315"/>
        <v>0</v>
      </c>
      <c r="Q417" s="43">
        <f t="shared" ref="Q417:S417" ca="1" si="324">Q418+Q419</f>
        <v>0</v>
      </c>
      <c r="R417" s="43">
        <f t="shared" ca="1" si="324"/>
        <v>0</v>
      </c>
      <c r="S417" s="43">
        <f t="shared" ca="1" si="324"/>
        <v>0</v>
      </c>
      <c r="T417" s="43">
        <f t="shared" ca="1" si="317"/>
        <v>0</v>
      </c>
      <c r="U417" s="43">
        <f t="shared" ca="1" si="318"/>
        <v>0</v>
      </c>
    </row>
    <row r="418" spans="1:21" ht="18.75" x14ac:dyDescent="0.25">
      <c r="A418" s="126"/>
      <c r="B418" s="156"/>
      <c r="C418" s="156"/>
      <c r="D418" s="156"/>
      <c r="E418" s="325" t="s">
        <v>158</v>
      </c>
      <c r="F418" s="156"/>
      <c r="G418" s="181"/>
      <c r="H418" s="177" t="s">
        <v>14</v>
      </c>
      <c r="I418" s="41"/>
      <c r="J418" s="41"/>
      <c r="K418" s="42"/>
      <c r="L418" s="45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8" s="45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8" s="45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8" s="45">
        <f t="shared" ca="1" si="314"/>
        <v>0</v>
      </c>
      <c r="P418" s="45">
        <f t="shared" ca="1" si="315"/>
        <v>0</v>
      </c>
      <c r="Q418" s="45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8" s="45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8" s="45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8" s="45">
        <f t="shared" ca="1" si="317"/>
        <v>0</v>
      </c>
      <c r="U418" s="45">
        <f t="shared" ca="1" si="318"/>
        <v>0</v>
      </c>
    </row>
    <row r="419" spans="1:21" ht="18.75" x14ac:dyDescent="0.25">
      <c r="A419" s="126"/>
      <c r="B419" s="156"/>
      <c r="C419" s="156"/>
      <c r="D419" s="156"/>
      <c r="E419" s="215" t="s">
        <v>159</v>
      </c>
      <c r="F419" s="156"/>
      <c r="G419" s="181"/>
      <c r="H419" s="176" t="s">
        <v>14</v>
      </c>
      <c r="I419" s="41"/>
      <c r="J419" s="41"/>
      <c r="K419" s="42"/>
      <c r="L419" s="43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0)</f>
        <v>0</v>
      </c>
      <c r="M419" s="43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0)</f>
        <v>0</v>
      </c>
      <c r="N419" s="43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0)</f>
        <v>0</v>
      </c>
      <c r="O419" s="43">
        <f t="shared" ca="1" si="314"/>
        <v>0</v>
      </c>
      <c r="P419" s="43">
        <f t="shared" ca="1" si="315"/>
        <v>0</v>
      </c>
      <c r="Q419" s="43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0)</f>
        <v>0</v>
      </c>
      <c r="R419" s="43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0)</f>
        <v>0</v>
      </c>
      <c r="S419" s="43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0)</f>
        <v>0</v>
      </c>
      <c r="T419" s="43">
        <f t="shared" ca="1" si="317"/>
        <v>0</v>
      </c>
      <c r="U419" s="43">
        <f t="shared" ca="1" si="318"/>
        <v>0</v>
      </c>
    </row>
    <row r="420" spans="1:21" ht="19.5" x14ac:dyDescent="0.3">
      <c r="A420" s="126"/>
      <c r="B420" s="156"/>
      <c r="C420" s="156"/>
      <c r="D420" s="323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3">
        <f t="shared" ref="L420:N420" ca="1" si="325">L421+L422</f>
        <v>0</v>
      </c>
      <c r="M420" s="43">
        <f t="shared" ca="1" si="325"/>
        <v>0</v>
      </c>
      <c r="N420" s="43">
        <f t="shared" ca="1" si="325"/>
        <v>0</v>
      </c>
      <c r="O420" s="43">
        <f t="shared" ca="1" si="314"/>
        <v>0</v>
      </c>
      <c r="P420" s="43">
        <f t="shared" ca="1" si="315"/>
        <v>0</v>
      </c>
      <c r="Q420" s="43">
        <f t="shared" ref="Q420:S420" ca="1" si="326">Q421+Q422</f>
        <v>0</v>
      </c>
      <c r="R420" s="43">
        <f t="shared" ca="1" si="326"/>
        <v>0</v>
      </c>
      <c r="S420" s="43">
        <f t="shared" ca="1" si="326"/>
        <v>0</v>
      </c>
      <c r="T420" s="43">
        <f t="shared" ca="1" si="317"/>
        <v>0</v>
      </c>
      <c r="U420" s="43">
        <f t="shared" ca="1" si="318"/>
        <v>0</v>
      </c>
    </row>
    <row r="421" spans="1:21" ht="18.75" x14ac:dyDescent="0.25">
      <c r="A421" s="126"/>
      <c r="B421" s="156"/>
      <c r="C421" s="156"/>
      <c r="D421" s="156"/>
      <c r="E421" s="325" t="s">
        <v>20</v>
      </c>
      <c r="F421" s="156"/>
      <c r="G421" s="181"/>
      <c r="H421" s="177" t="s">
        <v>14</v>
      </c>
      <c r="I421" s="41"/>
      <c r="J421" s="41"/>
      <c r="K421" s="42"/>
      <c r="L421" s="45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1" s="45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1" s="45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1" s="45">
        <f t="shared" ca="1" si="314"/>
        <v>0</v>
      </c>
      <c r="P421" s="45">
        <f t="shared" ca="1" si="315"/>
        <v>0</v>
      </c>
      <c r="Q421" s="45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1" s="45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1" s="45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1" s="45">
        <f t="shared" ca="1" si="317"/>
        <v>0</v>
      </c>
      <c r="U421" s="45">
        <f t="shared" ca="1" si="318"/>
        <v>0</v>
      </c>
    </row>
    <row r="422" spans="1:21" ht="18.75" x14ac:dyDescent="0.25">
      <c r="A422" s="126"/>
      <c r="B422" s="156"/>
      <c r="C422" s="156"/>
      <c r="D422" s="156"/>
      <c r="E422" s="215" t="s">
        <v>21</v>
      </c>
      <c r="F422" s="156"/>
      <c r="G422" s="181"/>
      <c r="H422" s="131" t="s">
        <v>14</v>
      </c>
      <c r="I422" s="41"/>
      <c r="J422" s="41"/>
      <c r="K422" s="42"/>
      <c r="L422" s="43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2" s="43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2" s="43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2" s="43">
        <f t="shared" ca="1" si="314"/>
        <v>0</v>
      </c>
      <c r="P422" s="43">
        <f t="shared" ca="1" si="315"/>
        <v>0</v>
      </c>
      <c r="Q422" s="43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2" s="43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2" s="43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2" s="43">
        <f t="shared" ca="1" si="317"/>
        <v>0</v>
      </c>
      <c r="U422" s="43">
        <f t="shared" ca="1" si="318"/>
        <v>0</v>
      </c>
    </row>
    <row r="423" spans="1:21" ht="19.5" x14ac:dyDescent="0.3">
      <c r="A423" s="214"/>
      <c r="B423" s="156"/>
      <c r="C423" s="333" t="s">
        <v>18</v>
      </c>
      <c r="D423" s="335" t="s">
        <v>38</v>
      </c>
      <c r="E423" s="156"/>
      <c r="F423" s="156"/>
      <c r="G423" s="181"/>
      <c r="H423" s="181"/>
      <c r="I423" s="41"/>
      <c r="J423" s="41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145">
        <f t="shared" ref="I424:J424" ca="1" si="327">I441</f>
        <v>0</v>
      </c>
      <c r="J424" s="145">
        <f t="shared" ca="1" si="327"/>
        <v>0</v>
      </c>
      <c r="K424" s="130">
        <f t="shared" ref="K424:K426" ca="1" si="328">IF(I424&gt;0,J424*100/I424,0)</f>
        <v>0</v>
      </c>
      <c r="L424" s="42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145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0)</f>
        <v>0</v>
      </c>
      <c r="J425" s="145">
        <f t="shared" ref="J425:J426" ca="1" si="329">J427+J429+J431</f>
        <v>0</v>
      </c>
      <c r="K425" s="130">
        <f t="shared" ca="1" si="328"/>
        <v>0</v>
      </c>
      <c r="L425" s="42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145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0)</f>
        <v>0</v>
      </c>
      <c r="J426" s="145">
        <f t="shared" ca="1" si="329"/>
        <v>0</v>
      </c>
      <c r="K426" s="130">
        <f t="shared" ca="1" si="328"/>
        <v>0</v>
      </c>
      <c r="L426" s="42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x14ac:dyDescent="0.25">
      <c r="A427" s="214"/>
      <c r="B427" s="156"/>
      <c r="C427" s="156"/>
      <c r="D427" s="215" t="s">
        <v>162</v>
      </c>
      <c r="E427" s="156"/>
      <c r="F427" s="156"/>
      <c r="G427" s="181"/>
      <c r="H427" s="131" t="s">
        <v>46</v>
      </c>
      <c r="I427" s="41"/>
      <c r="J427" s="165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0)</f>
        <v>0</v>
      </c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165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0)</f>
        <v>0</v>
      </c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x14ac:dyDescent="0.25">
      <c r="A429" s="214"/>
      <c r="B429" s="156"/>
      <c r="C429" s="156"/>
      <c r="D429" s="215" t="s">
        <v>163</v>
      </c>
      <c r="E429" s="156"/>
      <c r="F429" s="156"/>
      <c r="G429" s="181"/>
      <c r="H429" s="131" t="s">
        <v>46</v>
      </c>
      <c r="I429" s="41"/>
      <c r="J429" s="165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0)</f>
        <v>0</v>
      </c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165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0)</f>
        <v>0</v>
      </c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x14ac:dyDescent="0.25">
      <c r="A431" s="214"/>
      <c r="B431" s="156"/>
      <c r="C431" s="156"/>
      <c r="D431" s="215" t="s">
        <v>164</v>
      </c>
      <c r="E431" s="156"/>
      <c r="F431" s="156"/>
      <c r="G431" s="181"/>
      <c r="H431" s="131" t="s">
        <v>46</v>
      </c>
      <c r="I431" s="41"/>
      <c r="J431" s="165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0)</f>
        <v>0</v>
      </c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165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0)</f>
        <v>0</v>
      </c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145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0)</f>
        <v>0</v>
      </c>
      <c r="J433" s="145">
        <f t="shared" ref="J433:J434" ca="1" si="330">J435+J437+J439</f>
        <v>0</v>
      </c>
      <c r="K433" s="130">
        <f t="shared" ref="K433:K434" ca="1" si="331">IF(I433&gt;0,J433*100/I433,0)</f>
        <v>0</v>
      </c>
      <c r="L433" s="42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145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0)</f>
        <v>0</v>
      </c>
      <c r="J434" s="145">
        <f t="shared" ca="1" si="330"/>
        <v>0</v>
      </c>
      <c r="K434" s="130">
        <f t="shared" ca="1" si="331"/>
        <v>0</v>
      </c>
      <c r="L434" s="42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x14ac:dyDescent="0.25">
      <c r="A435" s="214"/>
      <c r="B435" s="156"/>
      <c r="C435" s="156"/>
      <c r="D435" s="215" t="s">
        <v>166</v>
      </c>
      <c r="E435" s="156"/>
      <c r="F435" s="156"/>
      <c r="G435" s="181"/>
      <c r="H435" s="131" t="s">
        <v>46</v>
      </c>
      <c r="I435" s="41"/>
      <c r="J435" s="165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0)</f>
        <v>0</v>
      </c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165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0)</f>
        <v>0</v>
      </c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x14ac:dyDescent="0.25">
      <c r="A437" s="214"/>
      <c r="B437" s="156"/>
      <c r="C437" s="156"/>
      <c r="D437" s="215" t="s">
        <v>167</v>
      </c>
      <c r="E437" s="156"/>
      <c r="F437" s="156"/>
      <c r="G437" s="181"/>
      <c r="H437" s="131" t="s">
        <v>46</v>
      </c>
      <c r="I437" s="41"/>
      <c r="J437" s="165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0)</f>
        <v>0</v>
      </c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165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0)</f>
        <v>0</v>
      </c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x14ac:dyDescent="0.25">
      <c r="A439" s="214"/>
      <c r="B439" s="156"/>
      <c r="C439" s="156"/>
      <c r="D439" s="215" t="s">
        <v>168</v>
      </c>
      <c r="E439" s="156"/>
      <c r="F439" s="156"/>
      <c r="G439" s="181"/>
      <c r="H439" s="131" t="s">
        <v>46</v>
      </c>
      <c r="I439" s="41"/>
      <c r="J439" s="165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0)</f>
        <v>0</v>
      </c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165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0)</f>
        <v>0</v>
      </c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145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0)</f>
        <v>0</v>
      </c>
      <c r="J441" s="145">
        <f t="shared" ref="J441:J442" ca="1" si="332">J443+J445+J447+J453+J455</f>
        <v>0</v>
      </c>
      <c r="K441" s="130">
        <f t="shared" ref="K441:K442" ca="1" si="333">IF(I441&gt;0,J441*100/I441,0)</f>
        <v>0</v>
      </c>
      <c r="L441" s="42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145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0)</f>
        <v>0</v>
      </c>
      <c r="J442" s="145">
        <f t="shared" ca="1" si="332"/>
        <v>0</v>
      </c>
      <c r="K442" s="130">
        <f t="shared" ca="1" si="333"/>
        <v>0</v>
      </c>
      <c r="L442" s="42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x14ac:dyDescent="0.25">
      <c r="A443" s="214"/>
      <c r="B443" s="156"/>
      <c r="C443" s="156"/>
      <c r="D443" s="215" t="s">
        <v>170</v>
      </c>
      <c r="E443" s="156"/>
      <c r="F443" s="156"/>
      <c r="G443" s="181"/>
      <c r="H443" s="131" t="s">
        <v>46</v>
      </c>
      <c r="I443" s="41"/>
      <c r="J443" s="165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0)</f>
        <v>0</v>
      </c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165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0)</f>
        <v>0</v>
      </c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x14ac:dyDescent="0.25">
      <c r="A445" s="214"/>
      <c r="B445" s="156"/>
      <c r="C445" s="156"/>
      <c r="D445" s="215" t="s">
        <v>171</v>
      </c>
      <c r="E445" s="156"/>
      <c r="F445" s="156"/>
      <c r="G445" s="181"/>
      <c r="H445" s="131" t="s">
        <v>46</v>
      </c>
      <c r="I445" s="41"/>
      <c r="J445" s="165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0)</f>
        <v>0</v>
      </c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165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0)</f>
        <v>0</v>
      </c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x14ac:dyDescent="0.3">
      <c r="A447" s="214"/>
      <c r="B447" s="156"/>
      <c r="C447" s="156"/>
      <c r="D447" s="215" t="s">
        <v>172</v>
      </c>
      <c r="E447" s="156"/>
      <c r="F447" s="156"/>
      <c r="G447" s="181"/>
      <c r="H447" s="131" t="s">
        <v>46</v>
      </c>
      <c r="I447" s="41"/>
      <c r="J447" s="145">
        <f t="shared" ref="J447:J448" ca="1" si="334">J449+J451</f>
        <v>0</v>
      </c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145">
        <f t="shared" ca="1" si="334"/>
        <v>0</v>
      </c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x14ac:dyDescent="0.25">
      <c r="A449" s="214"/>
      <c r="B449" s="156"/>
      <c r="C449" s="156"/>
      <c r="D449" s="156"/>
      <c r="E449" s="215" t="s">
        <v>173</v>
      </c>
      <c r="F449" s="156"/>
      <c r="G449" s="181"/>
      <c r="H449" s="131" t="s">
        <v>46</v>
      </c>
      <c r="I449" s="41"/>
      <c r="J449" s="165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0)</f>
        <v>0</v>
      </c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165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0)</f>
        <v>0</v>
      </c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x14ac:dyDescent="0.25">
      <c r="A451" s="214"/>
      <c r="B451" s="156"/>
      <c r="C451" s="156"/>
      <c r="D451" s="156"/>
      <c r="E451" s="215" t="s">
        <v>174</v>
      </c>
      <c r="F451" s="156"/>
      <c r="G451" s="181"/>
      <c r="H451" s="131" t="s">
        <v>46</v>
      </c>
      <c r="I451" s="41"/>
      <c r="J451" s="165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0)</f>
        <v>0</v>
      </c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165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0)</f>
        <v>0</v>
      </c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x14ac:dyDescent="0.25">
      <c r="A453" s="214"/>
      <c r="B453" s="156"/>
      <c r="C453" s="156"/>
      <c r="D453" s="215" t="s">
        <v>175</v>
      </c>
      <c r="E453" s="156"/>
      <c r="F453" s="156"/>
      <c r="G453" s="181"/>
      <c r="H453" s="131" t="s">
        <v>46</v>
      </c>
      <c r="I453" s="41"/>
      <c r="J453" s="165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165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x14ac:dyDescent="0.25">
      <c r="A455" s="214"/>
      <c r="B455" s="156"/>
      <c r="C455" s="156"/>
      <c r="D455" s="215" t="s">
        <v>176</v>
      </c>
      <c r="E455" s="156"/>
      <c r="F455" s="156"/>
      <c r="G455" s="181"/>
      <c r="H455" s="131" t="s">
        <v>46</v>
      </c>
      <c r="I455" s="41"/>
      <c r="J455" s="337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165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145">
        <f t="shared" ref="I457:J457" ca="1" si="335">I458</f>
        <v>0</v>
      </c>
      <c r="J457" s="145">
        <f t="shared" ca="1" si="335"/>
        <v>0</v>
      </c>
      <c r="K457" s="130">
        <f t="shared" ref="K457:K459" ca="1" si="336">IF(I457&gt;0,J457*100/I457,0)</f>
        <v>0</v>
      </c>
      <c r="L457" s="42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145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0)</f>
        <v>0</v>
      </c>
      <c r="J458" s="145">
        <f t="shared" ref="J458:J459" ca="1" si="337">J460+J468+J474</f>
        <v>0</v>
      </c>
      <c r="K458" s="130">
        <f t="shared" ca="1" si="336"/>
        <v>0</v>
      </c>
      <c r="L458" s="42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145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0)</f>
        <v>0</v>
      </c>
      <c r="J459" s="145">
        <f t="shared" ca="1" si="337"/>
        <v>0</v>
      </c>
      <c r="K459" s="130">
        <f t="shared" ca="1" si="336"/>
        <v>0</v>
      </c>
      <c r="L459" s="42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x14ac:dyDescent="0.25">
      <c r="A460" s="214"/>
      <c r="B460" s="156"/>
      <c r="C460" s="215" t="s">
        <v>179</v>
      </c>
      <c r="D460" s="156"/>
      <c r="E460" s="156"/>
      <c r="F460" s="156"/>
      <c r="G460" s="181"/>
      <c r="H460" s="131" t="s">
        <v>46</v>
      </c>
      <c r="I460" s="41"/>
      <c r="J460" s="165">
        <f t="shared" ref="J460:J461" ca="1" si="338">J462+J464</f>
        <v>0</v>
      </c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65">
        <f t="shared" ca="1" si="338"/>
        <v>0</v>
      </c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165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0)</f>
        <v>0</v>
      </c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165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0)</f>
        <v>0</v>
      </c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165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0)</f>
        <v>0</v>
      </c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165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0)</f>
        <v>0</v>
      </c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165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165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65">
        <f t="shared" ref="J468:J469" ca="1" si="339">J470+J472</f>
        <v>0</v>
      </c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65">
        <f t="shared" ca="1" si="339"/>
        <v>0</v>
      </c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165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0)</f>
        <v>0</v>
      </c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165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0)</f>
        <v>0</v>
      </c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165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165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x14ac:dyDescent="0.25">
      <c r="A474" s="214"/>
      <c r="B474" s="156"/>
      <c r="C474" s="215" t="s">
        <v>186</v>
      </c>
      <c r="D474" s="156"/>
      <c r="E474" s="156"/>
      <c r="F474" s="156"/>
      <c r="G474" s="181"/>
      <c r="H474" s="131" t="s">
        <v>46</v>
      </c>
      <c r="I474" s="41"/>
      <c r="J474" s="165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0)</f>
        <v>0</v>
      </c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165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0)</f>
        <v>0</v>
      </c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145">
        <f ca="1">J479+J481</f>
        <v>0</v>
      </c>
      <c r="K476" s="130">
        <f t="shared" ref="K476:K478" si="340">IF(I476&gt;0,J476*100/I476,0)</f>
        <v>0</v>
      </c>
      <c r="L476" s="42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145">
        <f t="shared" ref="J477:J478" ca="1" si="341">J479+J481</f>
        <v>0</v>
      </c>
      <c r="K477" s="130">
        <f t="shared" si="340"/>
        <v>0</v>
      </c>
      <c r="L477" s="42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x14ac:dyDescent="0.3">
      <c r="A478" s="214"/>
      <c r="B478" s="156"/>
      <c r="C478" s="215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145">
        <f t="shared" ca="1" si="341"/>
        <v>0</v>
      </c>
      <c r="K478" s="130">
        <f t="shared" si="340"/>
        <v>0</v>
      </c>
      <c r="L478" s="42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x14ac:dyDescent="0.25">
      <c r="A479" s="214"/>
      <c r="B479" s="156"/>
      <c r="C479" s="156"/>
      <c r="D479" s="215" t="s">
        <v>190</v>
      </c>
      <c r="E479" s="156"/>
      <c r="F479" s="156"/>
      <c r="G479" s="181"/>
      <c r="H479" s="131" t="s">
        <v>46</v>
      </c>
      <c r="I479" s="41"/>
      <c r="J479" s="165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165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165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165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65">
        <f ca="1">IFERROR(__xludf.DUMMYFUNCTION("IMPORTRANGE(""https://docs.google.com/spreadsheets/d/1jTcq05yEiRwXcBMLjiodW9e4biSGYWAHcDj22rKWQ3s/edit?usp=sharing"",""กำแพงเพชร!J482"")+IMPORTRANGE(""https://docs.google.com/spreadsheets/d/1KS0zmDSZPk8KnTAbGN-Xk6MtX1YRZD0ldgdt20K4CRk/edit?usp=sharing"","&amp;"""เชียงราย!J482"")+IMPORTRANGE(""https://docs.google.com/spreadsheets/d/1rEDxBtusbi64tE0zunoIbsTVV16HeL0oJ6trHQeQ7K8/edit?usp=sharing"",""เชียงใหม่!J482"")+IMPORTRANGE(""https://docs.google.com/spreadsheets/d/1W6MnUbDkMi6xHnHko_XkFDO9kkuL6Wqyc-6OCDFjW9I/e"&amp;"dit?usp=sharing"",""ตาก!J482"")+IMPORTRANGE(""https://docs.google.com/spreadsheets/d/1IQAWArduLkta9LpYo4a_ULsyqdta6-6aDDiwpUnQT6c/edit?usp=sharing"",""นครสวรรค์!J482"")+IMPORTRANGE(""https://docs.google.com/spreadsheets/d/10s13Sk5xrltsiR-Zkbmk5DwIaDIKO8Xl"&amp;"bJAfqyT7Gvg/edit?usp=sharing"",""น่าน!J482"")+IMPORTRANGE(""https://docs.google.com/spreadsheets/d/1uu4nAn4Dbi1XREnLKKotUANlKXa7yCgRcgq8HEzQYW8/edit?usp=sharing"",""พะเยา!J482"")+IMPORTRANGE(""https://docs.google.com/spreadsheets/d/1xfJKIQxVOaPDIICqsflNlL"&amp;"u3JacTDk1FP9RH4phX7mI/edit?usp=sharing"",""พิจิตร!J482"")+IMPORTRANGE(""https://docs.google.com/spreadsheets/d/1JtRfZkJMHtEhI5RdRHxYUG4FIZHqKDpNyIuN7A1Q0_k/edit?usp=sharing"",""พิษณุโลก!J482"")+IMPORTRANGE(""https://docs.google.com/spreadsheets/d/1xlcVZWU"&amp;"Nn6SuWm0c307h32SiGkd9BaeQWlAktfD3KO8/edit?usp=sharing"",""เพชรบูรณ์!J482"")+IMPORTRANGE(""https://docs.google.com/spreadsheets/d/1lOVebEIsI9qjGXl6EX66luk7wiuP2tBaryw-wKvv4e0/edit?usp=sharing"",""แพร่!J482"")+IMPORTRANGE(""https://docs.google.com/spreadshe"&amp;"ets/d/1dQrvX0vEcN7Gu0fnZ0B5S90AeR19zth4XlExFBeExMY/edit?usp=sharing"",""แม่ฮ่องสอน!J482"")+IMPORTRANGE(""https://docs.google.com/spreadsheets/d/1DY4XTNNwjluuxqdfdn6qvOSlMRrZqUtmYcZR0ttFiG4/edit?usp=sharing"",""ลำปาง!J482"")+IMPORTRANGE(""https://docs.goog"&amp;"le.com/spreadsheets/d/1ICwG78r0OFT8biBlxnBF8r7she7gNSzOvJ958PWT09c/edit?usp=sharing"",""ลำพูน!J482"")+IMPORTRANGE(""https://docs.google.com/spreadsheets/d/1B0f2xJpZUC6Z0xXnqKlZtEPzsf6L84eP1r1Q15seqRM/edit?usp=sharing"",""สุโขทัย!J482"")+IMPORTRANGE(""http"&amp;"s://docs.google.com/spreadsheets/d/1v0b9pFQCsKUVExMei7AgY2yQkdeNQvtOssygGsXbiKo/edit?usp=sharing"",""อุตรดิตถ์!J482"")+IMPORTRANGE(""https://docs.google.com/spreadsheets/d/1UsNK1e-WWiCo2PvGqdNfdme4m17_Ezd3J69EeeiQPD0/edit?usp=sharing"",""อุทัยธานี!J482"")"),0)</f>
        <v>0</v>
      </c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65">
        <f ca="1">IFERROR(__xludf.DUMMYFUNCTION("IMPORTRANGE(""https://docs.google.com/spreadsheets/d/1jTcq05yEiRwXcBMLjiodW9e4biSGYWAHcDj22rKWQ3s/edit?usp=sharing"",""กำแพงเพชร!J483"")+IMPORTRANGE(""https://docs.google.com/spreadsheets/d/1KS0zmDSZPk8KnTAbGN-Xk6MtX1YRZD0ldgdt20K4CRk/edit?usp=sharing"","&amp;"""เชียงราย!J483"")+IMPORTRANGE(""https://docs.google.com/spreadsheets/d/1rEDxBtusbi64tE0zunoIbsTVV16HeL0oJ6trHQeQ7K8/edit?usp=sharing"",""เชียงใหม่!J483"")+IMPORTRANGE(""https://docs.google.com/spreadsheets/d/1W6MnUbDkMi6xHnHko_XkFDO9kkuL6Wqyc-6OCDFjW9I/e"&amp;"dit?usp=sharing"",""ตาก!J483"")+IMPORTRANGE(""https://docs.google.com/spreadsheets/d/1IQAWArduLkta9LpYo4a_ULsyqdta6-6aDDiwpUnQT6c/edit?usp=sharing"",""นครสวรรค์!J483"")+IMPORTRANGE(""https://docs.google.com/spreadsheets/d/10s13Sk5xrltsiR-Zkbmk5DwIaDIKO8Xl"&amp;"bJAfqyT7Gvg/edit?usp=sharing"",""น่าน!J483"")+IMPORTRANGE(""https://docs.google.com/spreadsheets/d/1uu4nAn4Dbi1XREnLKKotUANlKXa7yCgRcgq8HEzQYW8/edit?usp=sharing"",""พะเยา!J483"")+IMPORTRANGE(""https://docs.google.com/spreadsheets/d/1xfJKIQxVOaPDIICqsflNlL"&amp;"u3JacTDk1FP9RH4phX7mI/edit?usp=sharing"",""พิจิตร!J483"")+IMPORTRANGE(""https://docs.google.com/spreadsheets/d/1JtRfZkJMHtEhI5RdRHxYUG4FIZHqKDpNyIuN7A1Q0_k/edit?usp=sharing"",""พิษณุโลก!J483"")+IMPORTRANGE(""https://docs.google.com/spreadsheets/d/1xlcVZWU"&amp;"Nn6SuWm0c307h32SiGkd9BaeQWlAktfD3KO8/edit?usp=sharing"",""เพชรบูรณ์!J483"")+IMPORTRANGE(""https://docs.google.com/spreadsheets/d/1lOVebEIsI9qjGXl6EX66luk7wiuP2tBaryw-wKvv4e0/edit?usp=sharing"",""แพร่!J483"")+IMPORTRANGE(""https://docs.google.com/spreadshe"&amp;"ets/d/1dQrvX0vEcN7Gu0fnZ0B5S90AeR19zth4XlExFBeExMY/edit?usp=sharing"",""แม่ฮ่องสอน!J483"")+IMPORTRANGE(""https://docs.google.com/spreadsheets/d/1DY4XTNNwjluuxqdfdn6qvOSlMRrZqUtmYcZR0ttFiG4/edit?usp=sharing"",""ลำปาง!J483"")+IMPORTRANGE(""https://docs.goog"&amp;"le.com/spreadsheets/d/1ICwG78r0OFT8biBlxnBF8r7she7gNSzOvJ958PWT09c/edit?usp=sharing"",""ลำพูน!J483"")+IMPORTRANGE(""https://docs.google.com/spreadsheets/d/1B0f2xJpZUC6Z0xXnqKlZtEPzsf6L84eP1r1Q15seqRM/edit?usp=sharing"",""สุโขทัย!J483"")+IMPORTRANGE(""http"&amp;"s://docs.google.com/spreadsheets/d/1v0b9pFQCsKUVExMei7AgY2yQkdeNQvtOssygGsXbiKo/edit?usp=sharing"",""อุตรดิตถ์!J483"")+IMPORTRANGE(""https://docs.google.com/spreadsheets/d/1UsNK1e-WWiCo2PvGqdNfdme4m17_Ezd3J69EeeiQPD0/edit?usp=sharing"",""อุทัยธานี!J483"")"),0)</f>
        <v>0</v>
      </c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165">
        <f t="shared" ref="I485:I486" ca="1" si="342">J481</f>
        <v>0</v>
      </c>
      <c r="J485" s="145">
        <f t="shared" ref="J485:J486" ca="1" si="343">J487+J489+J491</f>
        <v>0</v>
      </c>
      <c r="K485" s="130">
        <f t="shared" ref="K485:K486" ca="1" si="344">IF(I485&gt;0,J485*100/I485,0)</f>
        <v>0</v>
      </c>
      <c r="L485" s="42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x14ac:dyDescent="0.3">
      <c r="A486" s="214"/>
      <c r="B486" s="156"/>
      <c r="C486" s="215" t="s">
        <v>194</v>
      </c>
      <c r="D486" s="156"/>
      <c r="E486" s="156"/>
      <c r="F486" s="156"/>
      <c r="G486" s="181"/>
      <c r="H486" s="129" t="s">
        <v>34</v>
      </c>
      <c r="I486" s="165">
        <f t="shared" ca="1" si="342"/>
        <v>0</v>
      </c>
      <c r="J486" s="145">
        <f t="shared" ca="1" si="343"/>
        <v>0</v>
      </c>
      <c r="K486" s="130">
        <f t="shared" ca="1" si="344"/>
        <v>0</v>
      </c>
      <c r="L486" s="42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165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0)</f>
        <v>0</v>
      </c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165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0)</f>
        <v>0</v>
      </c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165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165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165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0)</f>
        <v>0</v>
      </c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193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0)</f>
        <v>0</v>
      </c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305">
        <f t="shared" ref="I493:J493" ca="1" si="345">I504</f>
        <v>60</v>
      </c>
      <c r="J493" s="305">
        <f t="shared" ca="1" si="345"/>
        <v>0</v>
      </c>
      <c r="K493" s="306">
        <f ca="1">IF(I493&gt;0,J493*100/I493,0)</f>
        <v>0</v>
      </c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x14ac:dyDescent="0.3">
      <c r="A494" s="126"/>
      <c r="B494" s="156"/>
      <c r="C494" s="178" t="s">
        <v>18</v>
      </c>
      <c r="D494" s="823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130">
        <f t="shared" ref="L494:N494" ca="1" si="346">L495+L496</f>
        <v>0</v>
      </c>
      <c r="M494" s="130">
        <f t="shared" ca="1" si="346"/>
        <v>0</v>
      </c>
      <c r="N494" s="130">
        <f t="shared" ca="1" si="346"/>
        <v>0</v>
      </c>
      <c r="O494" s="130">
        <f t="shared" ref="O494:O502" ca="1" si="347">IF(L494&gt;0,N494*100/L494,0)</f>
        <v>0</v>
      </c>
      <c r="P494" s="130">
        <f t="shared" ref="P494:P502" ca="1" si="348">IF(M494&gt;0,N494*100/M494,0)</f>
        <v>0</v>
      </c>
      <c r="Q494" s="130">
        <f t="shared" ref="Q494:S494" ca="1" si="349">Q495+Q496</f>
        <v>741945</v>
      </c>
      <c r="R494" s="130">
        <f t="shared" ca="1" si="349"/>
        <v>741945</v>
      </c>
      <c r="S494" s="130">
        <f t="shared" ca="1" si="349"/>
        <v>0</v>
      </c>
      <c r="T494" s="130">
        <f t="shared" ref="T494:T502" ca="1" si="350">IF(Q494&gt;0,S494*100/Q494,0)</f>
        <v>0</v>
      </c>
      <c r="U494" s="130">
        <f t="shared" ref="U494:U502" ca="1" si="351">IF(R494&gt;0,S494*100/R494,0)</f>
        <v>0</v>
      </c>
    </row>
    <row r="495" spans="1:21" ht="18.75" x14ac:dyDescent="0.25">
      <c r="A495" s="126"/>
      <c r="B495" s="156"/>
      <c r="C495" s="156"/>
      <c r="D495" s="137"/>
      <c r="E495" s="154" t="s">
        <v>158</v>
      </c>
      <c r="F495" s="37"/>
      <c r="G495" s="39"/>
      <c r="H495" s="157" t="s">
        <v>14</v>
      </c>
      <c r="I495" s="41"/>
      <c r="J495" s="41"/>
      <c r="K495" s="42"/>
      <c r="L495" s="45">
        <f t="shared" ref="L495:N495" ca="1" si="352">L498+L501</f>
        <v>0</v>
      </c>
      <c r="M495" s="45">
        <f t="shared" ca="1" si="352"/>
        <v>0</v>
      </c>
      <c r="N495" s="45">
        <f t="shared" ca="1" si="352"/>
        <v>0</v>
      </c>
      <c r="O495" s="45">
        <f t="shared" ca="1" si="347"/>
        <v>0</v>
      </c>
      <c r="P495" s="45">
        <f t="shared" ca="1" si="348"/>
        <v>0</v>
      </c>
      <c r="Q495" s="45">
        <f t="shared" ref="Q495:S495" ca="1" si="353">Q498+Q501</f>
        <v>0</v>
      </c>
      <c r="R495" s="45">
        <f t="shared" ca="1" si="353"/>
        <v>0</v>
      </c>
      <c r="S495" s="45">
        <f t="shared" ca="1" si="353"/>
        <v>0</v>
      </c>
      <c r="T495" s="45">
        <f t="shared" ca="1" si="350"/>
        <v>0</v>
      </c>
      <c r="U495" s="45">
        <f t="shared" ca="1" si="351"/>
        <v>0</v>
      </c>
    </row>
    <row r="496" spans="1:21" ht="18.75" x14ac:dyDescent="0.25">
      <c r="A496" s="126"/>
      <c r="B496" s="156"/>
      <c r="C496" s="156"/>
      <c r="D496" s="137"/>
      <c r="E496" s="44" t="s">
        <v>159</v>
      </c>
      <c r="F496" s="37"/>
      <c r="G496" s="39"/>
      <c r="H496" s="132" t="s">
        <v>14</v>
      </c>
      <c r="I496" s="41"/>
      <c r="J496" s="41"/>
      <c r="K496" s="42"/>
      <c r="L496" s="43">
        <f t="shared" ref="L496:N496" ca="1" si="354">L499+L502</f>
        <v>0</v>
      </c>
      <c r="M496" s="43">
        <f t="shared" ca="1" si="354"/>
        <v>0</v>
      </c>
      <c r="N496" s="43">
        <f t="shared" ca="1" si="354"/>
        <v>0</v>
      </c>
      <c r="O496" s="43">
        <f t="shared" ca="1" si="347"/>
        <v>0</v>
      </c>
      <c r="P496" s="43">
        <f t="shared" ca="1" si="348"/>
        <v>0</v>
      </c>
      <c r="Q496" s="43">
        <f t="shared" ref="Q496:S496" ca="1" si="355">Q499+Q502</f>
        <v>741945</v>
      </c>
      <c r="R496" s="43">
        <f t="shared" ca="1" si="355"/>
        <v>741945</v>
      </c>
      <c r="S496" s="43">
        <f t="shared" ca="1" si="355"/>
        <v>0</v>
      </c>
      <c r="T496" s="43">
        <f t="shared" ca="1" si="350"/>
        <v>0</v>
      </c>
      <c r="U496" s="43">
        <f t="shared" ca="1" si="351"/>
        <v>0</v>
      </c>
    </row>
    <row r="497" spans="1:21" ht="18.75" x14ac:dyDescent="0.25">
      <c r="A497" s="126"/>
      <c r="B497" s="156"/>
      <c r="C497" s="156"/>
      <c r="D497" s="158" t="s">
        <v>22</v>
      </c>
      <c r="E497" s="37"/>
      <c r="F497" s="37"/>
      <c r="G497" s="39"/>
      <c r="H497" s="132" t="s">
        <v>14</v>
      </c>
      <c r="I497" s="133"/>
      <c r="J497" s="133"/>
      <c r="K497" s="134"/>
      <c r="L497" s="43">
        <f t="shared" ref="L497:N497" ca="1" si="356">L498+L499</f>
        <v>0</v>
      </c>
      <c r="M497" s="43">
        <f t="shared" ca="1" si="356"/>
        <v>0</v>
      </c>
      <c r="N497" s="43">
        <f t="shared" ca="1" si="356"/>
        <v>0</v>
      </c>
      <c r="O497" s="43">
        <f t="shared" ca="1" si="347"/>
        <v>0</v>
      </c>
      <c r="P497" s="43">
        <f t="shared" ca="1" si="348"/>
        <v>0</v>
      </c>
      <c r="Q497" s="43">
        <f t="shared" ref="Q497:S497" ca="1" si="357">Q498+Q499</f>
        <v>741945</v>
      </c>
      <c r="R497" s="43">
        <f t="shared" ca="1" si="357"/>
        <v>741945</v>
      </c>
      <c r="S497" s="43">
        <f t="shared" ca="1" si="357"/>
        <v>0</v>
      </c>
      <c r="T497" s="43">
        <f t="shared" ca="1" si="350"/>
        <v>0</v>
      </c>
      <c r="U497" s="43">
        <f t="shared" ca="1" si="351"/>
        <v>0</v>
      </c>
    </row>
    <row r="498" spans="1:21" ht="18.75" x14ac:dyDescent="0.25">
      <c r="A498" s="126"/>
      <c r="B498" s="156"/>
      <c r="C498" s="156"/>
      <c r="D498" s="137"/>
      <c r="E498" s="154" t="s">
        <v>158</v>
      </c>
      <c r="F498" s="37"/>
      <c r="G498" s="39"/>
      <c r="H498" s="157" t="s">
        <v>14</v>
      </c>
      <c r="I498" s="41"/>
      <c r="J498" s="41"/>
      <c r="K498" s="42"/>
      <c r="L498" s="45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8" s="45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8" s="45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8" s="45">
        <f t="shared" ca="1" si="347"/>
        <v>0</v>
      </c>
      <c r="P498" s="45">
        <f t="shared" ca="1" si="348"/>
        <v>0</v>
      </c>
      <c r="Q498" s="45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8" s="45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8" s="45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8" s="45">
        <f t="shared" ca="1" si="350"/>
        <v>0</v>
      </c>
      <c r="U498" s="45">
        <f t="shared" ca="1" si="351"/>
        <v>0</v>
      </c>
    </row>
    <row r="499" spans="1:21" ht="18.75" x14ac:dyDescent="0.25">
      <c r="A499" s="126"/>
      <c r="B499" s="156"/>
      <c r="C499" s="156"/>
      <c r="D499" s="137"/>
      <c r="E499" s="44" t="s">
        <v>159</v>
      </c>
      <c r="F499" s="37"/>
      <c r="G499" s="39"/>
      <c r="H499" s="132" t="s">
        <v>14</v>
      </c>
      <c r="I499" s="41"/>
      <c r="J499" s="41"/>
      <c r="K499" s="42"/>
      <c r="L499" s="43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0)</f>
        <v>0</v>
      </c>
      <c r="M499" s="43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0)</f>
        <v>0</v>
      </c>
      <c r="N499" s="43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0)</f>
        <v>0</v>
      </c>
      <c r="O499" s="43">
        <f t="shared" ca="1" si="347"/>
        <v>0</v>
      </c>
      <c r="P499" s="43">
        <f t="shared" ca="1" si="348"/>
        <v>0</v>
      </c>
      <c r="Q499" s="43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9" s="43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741945)</f>
        <v>741945</v>
      </c>
      <c r="S499" s="43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0)</f>
        <v>0</v>
      </c>
      <c r="T499" s="43">
        <f t="shared" ca="1" si="350"/>
        <v>0</v>
      </c>
      <c r="U499" s="43">
        <f t="shared" ca="1" si="351"/>
        <v>0</v>
      </c>
    </row>
    <row r="500" spans="1:21" ht="18.75" x14ac:dyDescent="0.25">
      <c r="A500" s="126"/>
      <c r="B500" s="156"/>
      <c r="C500" s="156"/>
      <c r="D500" s="158" t="s">
        <v>23</v>
      </c>
      <c r="E500" s="37"/>
      <c r="F500" s="37"/>
      <c r="G500" s="39"/>
      <c r="H500" s="135" t="s">
        <v>14</v>
      </c>
      <c r="I500" s="133"/>
      <c r="J500" s="133"/>
      <c r="K500" s="134"/>
      <c r="L500" s="43">
        <f t="shared" ref="L500:N500" ca="1" si="358">L501+L502</f>
        <v>0</v>
      </c>
      <c r="M500" s="43">
        <f t="shared" ca="1" si="358"/>
        <v>0</v>
      </c>
      <c r="N500" s="43">
        <f t="shared" ca="1" si="358"/>
        <v>0</v>
      </c>
      <c r="O500" s="43">
        <f t="shared" ca="1" si="347"/>
        <v>0</v>
      </c>
      <c r="P500" s="43">
        <f t="shared" ca="1" si="348"/>
        <v>0</v>
      </c>
      <c r="Q500" s="43">
        <f t="shared" ref="Q500:S500" ca="1" si="359">Q501+Q502</f>
        <v>0</v>
      </c>
      <c r="R500" s="43">
        <f t="shared" ca="1" si="359"/>
        <v>0</v>
      </c>
      <c r="S500" s="43">
        <f t="shared" ca="1" si="359"/>
        <v>0</v>
      </c>
      <c r="T500" s="43">
        <f t="shared" ca="1" si="350"/>
        <v>0</v>
      </c>
      <c r="U500" s="43">
        <f t="shared" ca="1" si="351"/>
        <v>0</v>
      </c>
    </row>
    <row r="501" spans="1:21" ht="18.75" x14ac:dyDescent="0.25">
      <c r="A501" s="126"/>
      <c r="B501" s="156"/>
      <c r="C501" s="156"/>
      <c r="D501" s="156"/>
      <c r="E501" s="154" t="s">
        <v>20</v>
      </c>
      <c r="F501" s="37"/>
      <c r="G501" s="39"/>
      <c r="H501" s="157" t="s">
        <v>14</v>
      </c>
      <c r="I501" s="133"/>
      <c r="J501" s="133"/>
      <c r="K501" s="134"/>
      <c r="L501" s="45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1" s="45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1" s="45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1" s="45">
        <f t="shared" ca="1" si="347"/>
        <v>0</v>
      </c>
      <c r="P501" s="45">
        <f t="shared" ca="1" si="348"/>
        <v>0</v>
      </c>
      <c r="Q501" s="45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1" s="45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1" s="45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1" s="45">
        <f t="shared" ca="1" si="350"/>
        <v>0</v>
      </c>
      <c r="U501" s="45">
        <f t="shared" ca="1" si="351"/>
        <v>0</v>
      </c>
    </row>
    <row r="502" spans="1:21" ht="18.75" x14ac:dyDescent="0.25">
      <c r="A502" s="126"/>
      <c r="B502" s="156"/>
      <c r="C502" s="156"/>
      <c r="D502" s="156"/>
      <c r="E502" s="44" t="s">
        <v>21</v>
      </c>
      <c r="F502" s="37"/>
      <c r="G502" s="39"/>
      <c r="H502" s="135" t="s">
        <v>14</v>
      </c>
      <c r="I502" s="133"/>
      <c r="J502" s="133"/>
      <c r="K502" s="134"/>
      <c r="L502" s="43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2" s="43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2" s="43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2" s="43">
        <f t="shared" ca="1" si="347"/>
        <v>0</v>
      </c>
      <c r="P502" s="43">
        <f t="shared" ca="1" si="348"/>
        <v>0</v>
      </c>
      <c r="Q502" s="43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2" s="43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2" s="43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2" s="43">
        <f t="shared" ca="1" si="350"/>
        <v>0</v>
      </c>
      <c r="U502" s="43">
        <f t="shared" ca="1" si="351"/>
        <v>0</v>
      </c>
    </row>
    <row r="503" spans="1:21" ht="19.5" x14ac:dyDescent="0.3">
      <c r="A503" s="136"/>
      <c r="B503" s="137"/>
      <c r="C503" s="178" t="s">
        <v>18</v>
      </c>
      <c r="D503" s="324" t="s">
        <v>38</v>
      </c>
      <c r="E503" s="139"/>
      <c r="F503" s="139"/>
      <c r="G503" s="140"/>
      <c r="H503" s="179"/>
      <c r="I503" s="133"/>
      <c r="J503" s="133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x14ac:dyDescent="0.3">
      <c r="A504" s="214"/>
      <c r="B504" s="156"/>
      <c r="C504" s="156"/>
      <c r="D504" s="336" t="s">
        <v>199</v>
      </c>
      <c r="E504" s="37"/>
      <c r="F504" s="37"/>
      <c r="G504" s="39"/>
      <c r="H504" s="131" t="s">
        <v>35</v>
      </c>
      <c r="I504" s="165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4" s="166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0)</f>
        <v>0</v>
      </c>
      <c r="K504" s="130">
        <f t="shared" ref="K504:K510" ca="1" si="360">IF(I504&gt;0,J504*100/I504,0)</f>
        <v>0</v>
      </c>
      <c r="L504" s="42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x14ac:dyDescent="0.25">
      <c r="A505" s="214"/>
      <c r="B505" s="156"/>
      <c r="C505" s="156"/>
      <c r="D505" s="156"/>
      <c r="E505" s="44" t="s">
        <v>200</v>
      </c>
      <c r="F505" s="37"/>
      <c r="G505" s="39"/>
      <c r="H505" s="131" t="s">
        <v>35</v>
      </c>
      <c r="I505" s="165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0)</f>
        <v>0</v>
      </c>
      <c r="J505" s="166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0)</f>
        <v>0</v>
      </c>
      <c r="K505" s="43">
        <f t="shared" ca="1" si="360"/>
        <v>0</v>
      </c>
      <c r="L505" s="42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x14ac:dyDescent="0.25">
      <c r="A506" s="214"/>
      <c r="B506" s="156"/>
      <c r="C506" s="156"/>
      <c r="D506" s="156"/>
      <c r="E506" s="44" t="s">
        <v>201</v>
      </c>
      <c r="F506" s="37"/>
      <c r="G506" s="39"/>
      <c r="H506" s="131" t="s">
        <v>35</v>
      </c>
      <c r="I506" s="165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0)</f>
        <v>0</v>
      </c>
      <c r="J506" s="166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0)</f>
        <v>0</v>
      </c>
      <c r="K506" s="43">
        <f t="shared" ca="1" si="360"/>
        <v>0</v>
      </c>
      <c r="L506" s="42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x14ac:dyDescent="0.25">
      <c r="A507" s="214"/>
      <c r="B507" s="156"/>
      <c r="C507" s="156"/>
      <c r="D507" s="156"/>
      <c r="E507" s="44" t="s">
        <v>202</v>
      </c>
      <c r="F507" s="37"/>
      <c r="G507" s="39"/>
      <c r="H507" s="131" t="s">
        <v>35</v>
      </c>
      <c r="I507" s="165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0)</f>
        <v>0</v>
      </c>
      <c r="J507" s="166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0)</f>
        <v>0</v>
      </c>
      <c r="K507" s="43">
        <f t="shared" ca="1" si="360"/>
        <v>0</v>
      </c>
      <c r="L507" s="42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x14ac:dyDescent="0.25">
      <c r="A508" s="214"/>
      <c r="B508" s="156"/>
      <c r="C508" s="156"/>
      <c r="D508" s="156"/>
      <c r="E508" s="344" t="s">
        <v>203</v>
      </c>
      <c r="F508" s="37"/>
      <c r="G508" s="39"/>
      <c r="H508" s="131" t="s">
        <v>35</v>
      </c>
      <c r="I508" s="165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0)</f>
        <v>0</v>
      </c>
      <c r="J508" s="166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0)</f>
        <v>0</v>
      </c>
      <c r="K508" s="43">
        <f t="shared" ca="1" si="360"/>
        <v>0</v>
      </c>
      <c r="L508" s="42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x14ac:dyDescent="0.25">
      <c r="A509" s="214"/>
      <c r="B509" s="156"/>
      <c r="C509" s="156"/>
      <c r="D509" s="156"/>
      <c r="E509" s="44" t="s">
        <v>204</v>
      </c>
      <c r="F509" s="37"/>
      <c r="G509" s="39"/>
      <c r="H509" s="131" t="s">
        <v>35</v>
      </c>
      <c r="I509" s="189">
        <v>0</v>
      </c>
      <c r="J509" s="189">
        <v>0</v>
      </c>
      <c r="K509" s="43">
        <f t="shared" si="360"/>
        <v>0</v>
      </c>
      <c r="L509" s="42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3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10" s="346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10" s="108">
        <f t="shared" ca="1" si="360"/>
        <v>0</v>
      </c>
      <c r="L510" s="7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x14ac:dyDescent="0.3">
      <c r="A511" s="34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351"/>
      <c r="M511" s="351"/>
      <c r="N511" s="351"/>
      <c r="O511" s="351"/>
      <c r="P511" s="352"/>
      <c r="Q511" s="353"/>
      <c r="R511" s="353"/>
      <c r="S511" s="353"/>
      <c r="T511" s="353"/>
      <c r="U511" s="353"/>
    </row>
    <row r="512" spans="1:21" ht="19.5" x14ac:dyDescent="0.3">
      <c r="A512" s="354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359"/>
      <c r="M512" s="359"/>
      <c r="N512" s="359"/>
      <c r="O512" s="359"/>
      <c r="P512" s="359"/>
      <c r="Q512" s="360"/>
      <c r="R512" s="360"/>
      <c r="S512" s="360"/>
      <c r="T512" s="360"/>
      <c r="U512" s="360"/>
    </row>
    <row r="513" spans="1:21" ht="19.5" x14ac:dyDescent="0.3">
      <c r="A513" s="361"/>
      <c r="B513" s="362" t="s">
        <v>207</v>
      </c>
      <c r="C513" s="363"/>
      <c r="D513" s="364"/>
      <c r="E513" s="364"/>
      <c r="F513" s="364"/>
      <c r="G513" s="365"/>
      <c r="H513" s="366" t="s">
        <v>61</v>
      </c>
      <c r="I513" s="367">
        <f t="shared" ref="I513:J513" si="361">I525</f>
        <v>0</v>
      </c>
      <c r="J513" s="367">
        <f t="shared" si="361"/>
        <v>0</v>
      </c>
      <c r="K513" s="368">
        <f>IF(I513&gt;0,J513*100/I513,0)</f>
        <v>0</v>
      </c>
      <c r="L513" s="369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x14ac:dyDescent="0.3">
      <c r="A514" s="126"/>
      <c r="B514" s="37"/>
      <c r="C514" s="127" t="s">
        <v>18</v>
      </c>
      <c r="D514" s="128" t="s">
        <v>19</v>
      </c>
      <c r="E514" s="37"/>
      <c r="F514" s="37"/>
      <c r="G514" s="39"/>
      <c r="H514" s="129" t="s">
        <v>14</v>
      </c>
      <c r="I514" s="41"/>
      <c r="J514" s="41"/>
      <c r="K514" s="42"/>
      <c r="L514" s="130">
        <f t="shared" ref="L514:N514" ca="1" si="362">L515+L516</f>
        <v>0</v>
      </c>
      <c r="M514" s="130">
        <f t="shared" ca="1" si="362"/>
        <v>0</v>
      </c>
      <c r="N514" s="130">
        <f t="shared" ca="1" si="362"/>
        <v>0</v>
      </c>
      <c r="O514" s="130">
        <f t="shared" ref="O514:O522" ca="1" si="363">IF(L514&gt;0,N514*100/L514,0)</f>
        <v>0</v>
      </c>
      <c r="P514" s="130">
        <f t="shared" ref="P514:P522" ca="1" si="364">IF(M514&gt;0,N514*100/M514,0)</f>
        <v>0</v>
      </c>
      <c r="Q514" s="130">
        <f t="shared" ref="Q514:S514" ca="1" si="365">Q515+Q516</f>
        <v>0</v>
      </c>
      <c r="R514" s="130">
        <f t="shared" ca="1" si="365"/>
        <v>0</v>
      </c>
      <c r="S514" s="130">
        <f t="shared" ca="1" si="365"/>
        <v>0</v>
      </c>
      <c r="T514" s="130">
        <f t="shared" ref="T514:T522" ca="1" si="366">IF(Q514&gt;0,S514*100/Q514,0)</f>
        <v>0</v>
      </c>
      <c r="U514" s="130">
        <f t="shared" ref="U514:U522" ca="1" si="367">IF(R514&gt;0,S514*100/R514,0)</f>
        <v>0</v>
      </c>
    </row>
    <row r="515" spans="1:21" ht="18.75" x14ac:dyDescent="0.25">
      <c r="A515" s="126"/>
      <c r="B515" s="37"/>
      <c r="C515" s="37"/>
      <c r="D515" s="37"/>
      <c r="E515" s="44" t="s">
        <v>20</v>
      </c>
      <c r="F515" s="37"/>
      <c r="G515" s="39"/>
      <c r="H515" s="131" t="s">
        <v>14</v>
      </c>
      <c r="I515" s="41"/>
      <c r="J515" s="41"/>
      <c r="K515" s="42"/>
      <c r="L515" s="43">
        <f t="shared" ref="L515:N515" ca="1" si="368">L518+L521</f>
        <v>0</v>
      </c>
      <c r="M515" s="43">
        <f t="shared" ca="1" si="368"/>
        <v>0</v>
      </c>
      <c r="N515" s="43">
        <f t="shared" ca="1" si="368"/>
        <v>0</v>
      </c>
      <c r="O515" s="43">
        <f t="shared" ca="1" si="363"/>
        <v>0</v>
      </c>
      <c r="P515" s="43">
        <f t="shared" ca="1" si="364"/>
        <v>0</v>
      </c>
      <c r="Q515" s="45">
        <f t="shared" ref="Q515:S515" ca="1" si="369">Q518+Q521</f>
        <v>0</v>
      </c>
      <c r="R515" s="45">
        <f t="shared" ca="1" si="369"/>
        <v>0</v>
      </c>
      <c r="S515" s="45">
        <f t="shared" ca="1" si="369"/>
        <v>0</v>
      </c>
      <c r="T515" s="45">
        <f t="shared" ca="1" si="366"/>
        <v>0</v>
      </c>
      <c r="U515" s="45">
        <f t="shared" ca="1" si="367"/>
        <v>0</v>
      </c>
    </row>
    <row r="516" spans="1:21" ht="18.75" x14ac:dyDescent="0.25">
      <c r="A516" s="126"/>
      <c r="B516" s="37"/>
      <c r="C516" s="37"/>
      <c r="D516" s="37"/>
      <c r="E516" s="44" t="s">
        <v>21</v>
      </c>
      <c r="F516" s="37"/>
      <c r="G516" s="39"/>
      <c r="H516" s="131" t="s">
        <v>14</v>
      </c>
      <c r="I516" s="41"/>
      <c r="J516" s="41"/>
      <c r="K516" s="42"/>
      <c r="L516" s="43">
        <f t="shared" ref="L516:N516" ca="1" si="370">L519+L522</f>
        <v>0</v>
      </c>
      <c r="M516" s="43">
        <f t="shared" ca="1" si="370"/>
        <v>0</v>
      </c>
      <c r="N516" s="43">
        <f t="shared" ca="1" si="370"/>
        <v>0</v>
      </c>
      <c r="O516" s="43">
        <f t="shared" ca="1" si="363"/>
        <v>0</v>
      </c>
      <c r="P516" s="43">
        <f t="shared" ca="1" si="364"/>
        <v>0</v>
      </c>
      <c r="Q516" s="43">
        <f t="shared" ref="Q516:S516" ca="1" si="371">Q519+Q522</f>
        <v>0</v>
      </c>
      <c r="R516" s="43">
        <f t="shared" ca="1" si="371"/>
        <v>0</v>
      </c>
      <c r="S516" s="43">
        <f t="shared" ca="1" si="371"/>
        <v>0</v>
      </c>
      <c r="T516" s="43">
        <f t="shared" ca="1" si="366"/>
        <v>0</v>
      </c>
      <c r="U516" s="43">
        <f t="shared" ca="1" si="367"/>
        <v>0</v>
      </c>
    </row>
    <row r="517" spans="1:21" ht="18.75" x14ac:dyDescent="0.25">
      <c r="A517" s="126"/>
      <c r="B517" s="37"/>
      <c r="C517" s="37"/>
      <c r="D517" s="38" t="s">
        <v>22</v>
      </c>
      <c r="E517" s="37"/>
      <c r="F517" s="37"/>
      <c r="G517" s="39"/>
      <c r="H517" s="132" t="s">
        <v>14</v>
      </c>
      <c r="I517" s="133"/>
      <c r="J517" s="133"/>
      <c r="K517" s="134"/>
      <c r="L517" s="43">
        <f t="shared" ref="L517:N517" ca="1" si="372">L518+L519</f>
        <v>0</v>
      </c>
      <c r="M517" s="43">
        <f t="shared" ca="1" si="372"/>
        <v>0</v>
      </c>
      <c r="N517" s="43">
        <f t="shared" ca="1" si="372"/>
        <v>0</v>
      </c>
      <c r="O517" s="43">
        <f t="shared" ca="1" si="363"/>
        <v>0</v>
      </c>
      <c r="P517" s="43">
        <f t="shared" ca="1" si="364"/>
        <v>0</v>
      </c>
      <c r="Q517" s="43">
        <f t="shared" ref="Q517:S517" ca="1" si="373">Q518+Q519</f>
        <v>0</v>
      </c>
      <c r="R517" s="43">
        <f t="shared" ca="1" si="373"/>
        <v>0</v>
      </c>
      <c r="S517" s="43">
        <f t="shared" ca="1" si="373"/>
        <v>0</v>
      </c>
      <c r="T517" s="43">
        <f t="shared" ca="1" si="366"/>
        <v>0</v>
      </c>
      <c r="U517" s="43">
        <f t="shared" ca="1" si="367"/>
        <v>0</v>
      </c>
    </row>
    <row r="518" spans="1:21" ht="18.75" x14ac:dyDescent="0.25">
      <c r="A518" s="126"/>
      <c r="B518" s="37"/>
      <c r="C518" s="37"/>
      <c r="D518" s="37"/>
      <c r="E518" s="44" t="s">
        <v>36</v>
      </c>
      <c r="F518" s="37"/>
      <c r="G518" s="39"/>
      <c r="H518" s="132" t="s">
        <v>14</v>
      </c>
      <c r="I518" s="133"/>
      <c r="J518" s="133"/>
      <c r="K518" s="134"/>
      <c r="L518" s="43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8" s="43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8" s="43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8" s="43">
        <f t="shared" ca="1" si="363"/>
        <v>0</v>
      </c>
      <c r="P518" s="43">
        <f t="shared" ca="1" si="364"/>
        <v>0</v>
      </c>
      <c r="Q518" s="45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8" s="45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8" s="45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8" s="45">
        <f t="shared" ca="1" si="366"/>
        <v>0</v>
      </c>
      <c r="U518" s="45">
        <f t="shared" ca="1" si="367"/>
        <v>0</v>
      </c>
    </row>
    <row r="519" spans="1:21" ht="18.75" x14ac:dyDescent="0.25">
      <c r="A519" s="126"/>
      <c r="B519" s="37"/>
      <c r="C519" s="37"/>
      <c r="D519" s="37"/>
      <c r="E519" s="44" t="s">
        <v>37</v>
      </c>
      <c r="F519" s="37"/>
      <c r="G519" s="39"/>
      <c r="H519" s="132" t="s">
        <v>14</v>
      </c>
      <c r="I519" s="133"/>
      <c r="J519" s="133"/>
      <c r="K519" s="134"/>
      <c r="L519" s="43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9" s="43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9" s="43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9" s="43">
        <f t="shared" ca="1" si="363"/>
        <v>0</v>
      </c>
      <c r="P519" s="43">
        <f t="shared" ca="1" si="364"/>
        <v>0</v>
      </c>
      <c r="Q519" s="43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9" s="43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9" s="43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9" s="43">
        <f t="shared" ca="1" si="366"/>
        <v>0</v>
      </c>
      <c r="U519" s="43">
        <f t="shared" ca="1" si="367"/>
        <v>0</v>
      </c>
    </row>
    <row r="520" spans="1:21" ht="18.75" x14ac:dyDescent="0.25">
      <c r="A520" s="126"/>
      <c r="B520" s="37"/>
      <c r="C520" s="37"/>
      <c r="D520" s="38" t="s">
        <v>23</v>
      </c>
      <c r="E520" s="37"/>
      <c r="F520" s="37"/>
      <c r="G520" s="39"/>
      <c r="H520" s="135" t="s">
        <v>14</v>
      </c>
      <c r="I520" s="133"/>
      <c r="J520" s="133"/>
      <c r="K520" s="134"/>
      <c r="L520" s="43">
        <f t="shared" ref="L520:N520" ca="1" si="374">L521+L522</f>
        <v>0</v>
      </c>
      <c r="M520" s="43">
        <f t="shared" ca="1" si="374"/>
        <v>0</v>
      </c>
      <c r="N520" s="43">
        <f t="shared" ca="1" si="374"/>
        <v>0</v>
      </c>
      <c r="O520" s="43">
        <f t="shared" ca="1" si="363"/>
        <v>0</v>
      </c>
      <c r="P520" s="43">
        <f t="shared" ca="1" si="364"/>
        <v>0</v>
      </c>
      <c r="Q520" s="43">
        <f t="shared" ref="Q520:S520" ca="1" si="375">Q521+Q522</f>
        <v>0</v>
      </c>
      <c r="R520" s="43">
        <f t="shared" ca="1" si="375"/>
        <v>0</v>
      </c>
      <c r="S520" s="43">
        <f t="shared" ca="1" si="375"/>
        <v>0</v>
      </c>
      <c r="T520" s="43">
        <f t="shared" ca="1" si="366"/>
        <v>0</v>
      </c>
      <c r="U520" s="43">
        <f t="shared" ca="1" si="367"/>
        <v>0</v>
      </c>
    </row>
    <row r="521" spans="1:21" ht="18.75" x14ac:dyDescent="0.25">
      <c r="A521" s="126"/>
      <c r="B521" s="37"/>
      <c r="C521" s="37"/>
      <c r="D521" s="37"/>
      <c r="E521" s="44" t="s">
        <v>20</v>
      </c>
      <c r="F521" s="37"/>
      <c r="G521" s="39"/>
      <c r="H521" s="132" t="s">
        <v>14</v>
      </c>
      <c r="I521" s="133"/>
      <c r="J521" s="133"/>
      <c r="K521" s="134"/>
      <c r="L521" s="43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1" s="43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1" s="43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1" s="43">
        <f t="shared" ca="1" si="363"/>
        <v>0</v>
      </c>
      <c r="P521" s="43">
        <f t="shared" ca="1" si="364"/>
        <v>0</v>
      </c>
      <c r="Q521" s="45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1" s="45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1" s="45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1" s="45">
        <f t="shared" ca="1" si="366"/>
        <v>0</v>
      </c>
      <c r="U521" s="45">
        <f t="shared" ca="1" si="367"/>
        <v>0</v>
      </c>
    </row>
    <row r="522" spans="1:21" ht="18.75" x14ac:dyDescent="0.25">
      <c r="A522" s="126"/>
      <c r="B522" s="37"/>
      <c r="C522" s="37"/>
      <c r="D522" s="37"/>
      <c r="E522" s="44" t="s">
        <v>21</v>
      </c>
      <c r="F522" s="37"/>
      <c r="G522" s="39"/>
      <c r="H522" s="135" t="s">
        <v>14</v>
      </c>
      <c r="I522" s="133"/>
      <c r="J522" s="133"/>
      <c r="K522" s="134"/>
      <c r="L522" s="43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2" s="43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2" s="43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2" s="43">
        <f t="shared" ca="1" si="363"/>
        <v>0</v>
      </c>
      <c r="P522" s="43">
        <f t="shared" ca="1" si="364"/>
        <v>0</v>
      </c>
      <c r="Q522" s="43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2" s="43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2" s="43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2" s="43">
        <f t="shared" ca="1" si="366"/>
        <v>0</v>
      </c>
      <c r="U522" s="43">
        <f t="shared" ca="1" si="367"/>
        <v>0</v>
      </c>
    </row>
    <row r="523" spans="1:21" ht="19.5" x14ac:dyDescent="0.3">
      <c r="A523" s="136"/>
      <c r="B523" s="137"/>
      <c r="C523" s="127" t="s">
        <v>18</v>
      </c>
      <c r="D523" s="138" t="s">
        <v>38</v>
      </c>
      <c r="E523" s="139"/>
      <c r="F523" s="139"/>
      <c r="G523" s="140"/>
      <c r="H523" s="141"/>
      <c r="I523" s="133"/>
      <c r="J523" s="41"/>
      <c r="K523" s="42"/>
      <c r="L523" s="42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x14ac:dyDescent="0.25">
      <c r="A524" s="214"/>
      <c r="B524" s="37"/>
      <c r="C524" s="156"/>
      <c r="D524" s="164" t="s">
        <v>208</v>
      </c>
      <c r="E524" s="137"/>
      <c r="F524" s="37"/>
      <c r="G524" s="39"/>
      <c r="H524" s="216" t="s">
        <v>11</v>
      </c>
      <c r="I524" s="189">
        <v>0</v>
      </c>
      <c r="J524" s="189">
        <v>0</v>
      </c>
      <c r="K524" s="43">
        <f t="shared" ref="K524:K525" si="376">IF(I524&gt;0,J524*100/I524,0)</f>
        <v>0</v>
      </c>
      <c r="L524" s="42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x14ac:dyDescent="0.25">
      <c r="A525" s="341"/>
      <c r="B525" s="5"/>
      <c r="C525" s="6"/>
      <c r="D525" s="370" t="s">
        <v>209</v>
      </c>
      <c r="E525" s="258"/>
      <c r="F525" s="5"/>
      <c r="G525" s="49"/>
      <c r="H525" s="371" t="s">
        <v>61</v>
      </c>
      <c r="I525" s="194">
        <v>0</v>
      </c>
      <c r="J525" s="194">
        <v>0</v>
      </c>
      <c r="K525" s="108">
        <f t="shared" si="376"/>
        <v>0</v>
      </c>
      <c r="L525" s="7"/>
      <c r="M525" s="7"/>
      <c r="N525" s="7"/>
      <c r="O525" s="7"/>
      <c r="P525" s="7"/>
      <c r="Q525" s="42"/>
      <c r="R525" s="42"/>
      <c r="S525" s="42"/>
      <c r="T525" s="42"/>
      <c r="U525" s="42"/>
    </row>
    <row r="526" spans="1:21" ht="12.75" hidden="1" x14ac:dyDescent="0.2">
      <c r="A526" s="233"/>
      <c r="B526" s="234"/>
      <c r="C526" s="234"/>
      <c r="D526" s="235"/>
      <c r="E526" s="235"/>
      <c r="F526" s="235"/>
      <c r="G526" s="236"/>
      <c r="H526" s="237"/>
      <c r="I526" s="238"/>
      <c r="J526" s="238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77">I546</f>
        <v>0</v>
      </c>
      <c r="J534" s="376">
        <f t="shared" si="377"/>
        <v>0</v>
      </c>
      <c r="K534" s="368">
        <f>IF(I534&gt;0,J534*100/I534,0)</f>
        <v>0</v>
      </c>
      <c r="L534" s="369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x14ac:dyDescent="0.3">
      <c r="A535" s="126"/>
      <c r="B535" s="37"/>
      <c r="C535" s="127" t="s">
        <v>18</v>
      </c>
      <c r="D535" s="128" t="s">
        <v>19</v>
      </c>
      <c r="E535" s="37"/>
      <c r="F535" s="37"/>
      <c r="G535" s="39"/>
      <c r="H535" s="129" t="s">
        <v>14</v>
      </c>
      <c r="I535" s="41"/>
      <c r="J535" s="41"/>
      <c r="K535" s="42"/>
      <c r="L535" s="130">
        <f t="shared" ref="L535:N535" ca="1" si="378">L536+L537</f>
        <v>0</v>
      </c>
      <c r="M535" s="130">
        <f t="shared" ca="1" si="378"/>
        <v>0</v>
      </c>
      <c r="N535" s="130">
        <f t="shared" ca="1" si="378"/>
        <v>0</v>
      </c>
      <c r="O535" s="130">
        <f t="shared" ref="O535:O543" ca="1" si="379">IF(L535&gt;0,N535*100/L535,0)</f>
        <v>0</v>
      </c>
      <c r="P535" s="130">
        <f t="shared" ref="P535:P543" ca="1" si="380">IF(M535&gt;0,N535*100/M535,0)</f>
        <v>0</v>
      </c>
      <c r="Q535" s="130">
        <f t="shared" ref="Q535:S535" ca="1" si="381">Q536+Q537</f>
        <v>0</v>
      </c>
      <c r="R535" s="130">
        <f t="shared" ca="1" si="381"/>
        <v>0</v>
      </c>
      <c r="S535" s="130">
        <f t="shared" ca="1" si="381"/>
        <v>0</v>
      </c>
      <c r="T535" s="130">
        <f t="shared" ref="T535:T543" ca="1" si="382">IF(Q535&gt;0,S535*100/Q535,0)</f>
        <v>0</v>
      </c>
      <c r="U535" s="130">
        <f t="shared" ref="U535:U543" ca="1" si="383">IF(R535&gt;0,S535*100/R535,0)</f>
        <v>0</v>
      </c>
    </row>
    <row r="536" spans="1:21" ht="18.75" x14ac:dyDescent="0.25">
      <c r="A536" s="126"/>
      <c r="B536" s="156"/>
      <c r="C536" s="37"/>
      <c r="D536" s="37"/>
      <c r="E536" s="154" t="s">
        <v>20</v>
      </c>
      <c r="F536" s="37"/>
      <c r="G536" s="39"/>
      <c r="H536" s="155" t="s">
        <v>14</v>
      </c>
      <c r="I536" s="41"/>
      <c r="J536" s="41"/>
      <c r="K536" s="42"/>
      <c r="L536" s="45">
        <f t="shared" ref="L536:N536" ca="1" si="384">L539+L542</f>
        <v>0</v>
      </c>
      <c r="M536" s="45">
        <f t="shared" ca="1" si="384"/>
        <v>0</v>
      </c>
      <c r="N536" s="45">
        <f t="shared" ca="1" si="384"/>
        <v>0</v>
      </c>
      <c r="O536" s="45">
        <f t="shared" ca="1" si="379"/>
        <v>0</v>
      </c>
      <c r="P536" s="45">
        <f t="shared" ca="1" si="380"/>
        <v>0</v>
      </c>
      <c r="Q536" s="45">
        <f t="shared" ref="Q536:S536" ca="1" si="385">Q539+Q542</f>
        <v>0</v>
      </c>
      <c r="R536" s="45">
        <f t="shared" ca="1" si="385"/>
        <v>0</v>
      </c>
      <c r="S536" s="45">
        <f t="shared" ca="1" si="385"/>
        <v>0</v>
      </c>
      <c r="T536" s="45">
        <f t="shared" ca="1" si="382"/>
        <v>0</v>
      </c>
      <c r="U536" s="45">
        <f t="shared" ca="1" si="383"/>
        <v>0</v>
      </c>
    </row>
    <row r="537" spans="1:21" ht="18.75" x14ac:dyDescent="0.25">
      <c r="A537" s="126"/>
      <c r="B537" s="37"/>
      <c r="C537" s="156"/>
      <c r="D537" s="37"/>
      <c r="E537" s="215" t="s">
        <v>21</v>
      </c>
      <c r="F537" s="37"/>
      <c r="G537" s="39"/>
      <c r="H537" s="131" t="s">
        <v>14</v>
      </c>
      <c r="I537" s="41"/>
      <c r="J537" s="41"/>
      <c r="K537" s="42"/>
      <c r="L537" s="43">
        <f t="shared" ref="L537:N537" ca="1" si="386">L540+L543</f>
        <v>0</v>
      </c>
      <c r="M537" s="43">
        <f t="shared" ca="1" si="386"/>
        <v>0</v>
      </c>
      <c r="N537" s="43">
        <f t="shared" ca="1" si="386"/>
        <v>0</v>
      </c>
      <c r="O537" s="43">
        <f t="shared" ca="1" si="379"/>
        <v>0</v>
      </c>
      <c r="P537" s="43">
        <f t="shared" ca="1" si="380"/>
        <v>0</v>
      </c>
      <c r="Q537" s="43">
        <f t="shared" ref="Q537:S537" ca="1" si="387">Q540+Q543</f>
        <v>0</v>
      </c>
      <c r="R537" s="43">
        <f t="shared" ca="1" si="387"/>
        <v>0</v>
      </c>
      <c r="S537" s="43">
        <f t="shared" ca="1" si="387"/>
        <v>0</v>
      </c>
      <c r="T537" s="43">
        <f t="shared" ca="1" si="382"/>
        <v>0</v>
      </c>
      <c r="U537" s="43">
        <f t="shared" ca="1" si="383"/>
        <v>0</v>
      </c>
    </row>
    <row r="538" spans="1:21" ht="18.75" x14ac:dyDescent="0.25">
      <c r="A538" s="126"/>
      <c r="B538" s="37"/>
      <c r="C538" s="156"/>
      <c r="D538" s="38" t="s">
        <v>22</v>
      </c>
      <c r="E538" s="156"/>
      <c r="F538" s="37"/>
      <c r="G538" s="39"/>
      <c r="H538" s="132" t="s">
        <v>14</v>
      </c>
      <c r="I538" s="133"/>
      <c r="J538" s="133"/>
      <c r="K538" s="134"/>
      <c r="L538" s="43">
        <f t="shared" ref="L538:N538" ca="1" si="388">L539+L540</f>
        <v>0</v>
      </c>
      <c r="M538" s="43">
        <f t="shared" ca="1" si="388"/>
        <v>0</v>
      </c>
      <c r="N538" s="43">
        <f t="shared" ca="1" si="388"/>
        <v>0</v>
      </c>
      <c r="O538" s="43">
        <f t="shared" ca="1" si="379"/>
        <v>0</v>
      </c>
      <c r="P538" s="43">
        <f t="shared" ca="1" si="380"/>
        <v>0</v>
      </c>
      <c r="Q538" s="43">
        <f t="shared" ref="Q538:S538" ca="1" si="389">Q539+Q540</f>
        <v>0</v>
      </c>
      <c r="R538" s="43">
        <f t="shared" ca="1" si="389"/>
        <v>0</v>
      </c>
      <c r="S538" s="43">
        <f t="shared" ca="1" si="389"/>
        <v>0</v>
      </c>
      <c r="T538" s="43">
        <f t="shared" ca="1" si="382"/>
        <v>0</v>
      </c>
      <c r="U538" s="43">
        <f t="shared" ca="1" si="383"/>
        <v>0</v>
      </c>
    </row>
    <row r="539" spans="1:21" ht="18.75" x14ac:dyDescent="0.25">
      <c r="A539" s="126"/>
      <c r="B539" s="37"/>
      <c r="C539" s="37"/>
      <c r="D539" s="37"/>
      <c r="E539" s="154" t="s">
        <v>36</v>
      </c>
      <c r="F539" s="37"/>
      <c r="G539" s="39"/>
      <c r="H539" s="157" t="s">
        <v>14</v>
      </c>
      <c r="I539" s="133"/>
      <c r="J539" s="133"/>
      <c r="K539" s="134"/>
      <c r="L539" s="45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9" s="45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9" s="45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9" s="45">
        <f t="shared" ca="1" si="379"/>
        <v>0</v>
      </c>
      <c r="P539" s="45">
        <f t="shared" ca="1" si="380"/>
        <v>0</v>
      </c>
      <c r="Q539" s="45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9" s="45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9" s="45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9" s="45">
        <f t="shared" ca="1" si="382"/>
        <v>0</v>
      </c>
      <c r="U539" s="45">
        <f t="shared" ca="1" si="383"/>
        <v>0</v>
      </c>
    </row>
    <row r="540" spans="1:21" ht="18.75" x14ac:dyDescent="0.25">
      <c r="A540" s="126"/>
      <c r="B540" s="37"/>
      <c r="C540" s="37"/>
      <c r="D540" s="37"/>
      <c r="E540" s="44" t="s">
        <v>37</v>
      </c>
      <c r="F540" s="37"/>
      <c r="G540" s="39"/>
      <c r="H540" s="132" t="s">
        <v>14</v>
      </c>
      <c r="I540" s="133"/>
      <c r="J540" s="133"/>
      <c r="K540" s="134"/>
      <c r="L540" s="43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40" s="43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40" s="43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40" s="43">
        <f t="shared" ca="1" si="379"/>
        <v>0</v>
      </c>
      <c r="P540" s="43">
        <f t="shared" ca="1" si="380"/>
        <v>0</v>
      </c>
      <c r="Q540" s="43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40" s="43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40" s="43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40" s="43">
        <f t="shared" ca="1" si="382"/>
        <v>0</v>
      </c>
      <c r="U540" s="43">
        <f t="shared" ca="1" si="383"/>
        <v>0</v>
      </c>
    </row>
    <row r="541" spans="1:21" ht="18.75" x14ac:dyDescent="0.25">
      <c r="A541" s="126"/>
      <c r="B541" s="37"/>
      <c r="C541" s="37"/>
      <c r="D541" s="38" t="s">
        <v>23</v>
      </c>
      <c r="E541" s="37"/>
      <c r="F541" s="37"/>
      <c r="G541" s="39"/>
      <c r="H541" s="135" t="s">
        <v>14</v>
      </c>
      <c r="I541" s="133"/>
      <c r="J541" s="133"/>
      <c r="K541" s="134"/>
      <c r="L541" s="43">
        <f t="shared" ref="L541:N541" ca="1" si="390">L542+L543</f>
        <v>0</v>
      </c>
      <c r="M541" s="43">
        <f t="shared" ca="1" si="390"/>
        <v>0</v>
      </c>
      <c r="N541" s="43">
        <f t="shared" ca="1" si="390"/>
        <v>0</v>
      </c>
      <c r="O541" s="43">
        <f t="shared" ca="1" si="379"/>
        <v>0</v>
      </c>
      <c r="P541" s="43">
        <f t="shared" ca="1" si="380"/>
        <v>0</v>
      </c>
      <c r="Q541" s="43">
        <f t="shared" ref="Q541:S541" ca="1" si="391">Q542+Q543</f>
        <v>0</v>
      </c>
      <c r="R541" s="43">
        <f t="shared" ca="1" si="391"/>
        <v>0</v>
      </c>
      <c r="S541" s="43">
        <f t="shared" ca="1" si="391"/>
        <v>0</v>
      </c>
      <c r="T541" s="43">
        <f t="shared" ca="1" si="382"/>
        <v>0</v>
      </c>
      <c r="U541" s="43">
        <f t="shared" ca="1" si="383"/>
        <v>0</v>
      </c>
    </row>
    <row r="542" spans="1:21" ht="18.75" x14ac:dyDescent="0.25">
      <c r="A542" s="126"/>
      <c r="B542" s="37"/>
      <c r="C542" s="37"/>
      <c r="D542" s="37"/>
      <c r="E542" s="154" t="s">
        <v>20</v>
      </c>
      <c r="F542" s="37"/>
      <c r="G542" s="39"/>
      <c r="H542" s="157" t="s">
        <v>14</v>
      </c>
      <c r="I542" s="133"/>
      <c r="J542" s="133"/>
      <c r="K542" s="134"/>
      <c r="L542" s="45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2" s="45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2" s="45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2" s="45">
        <f t="shared" ca="1" si="379"/>
        <v>0</v>
      </c>
      <c r="P542" s="45">
        <f t="shared" ca="1" si="380"/>
        <v>0</v>
      </c>
      <c r="Q542" s="45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2" s="45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2" s="45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2" s="45">
        <f t="shared" ca="1" si="382"/>
        <v>0</v>
      </c>
      <c r="U542" s="45">
        <f t="shared" ca="1" si="383"/>
        <v>0</v>
      </c>
    </row>
    <row r="543" spans="1:21" ht="18.75" x14ac:dyDescent="0.25">
      <c r="A543" s="126"/>
      <c r="B543" s="37"/>
      <c r="C543" s="37"/>
      <c r="D543" s="37"/>
      <c r="E543" s="44" t="s">
        <v>21</v>
      </c>
      <c r="F543" s="37"/>
      <c r="G543" s="39"/>
      <c r="H543" s="135" t="s">
        <v>14</v>
      </c>
      <c r="I543" s="133"/>
      <c r="J543" s="133"/>
      <c r="K543" s="134"/>
      <c r="L543" s="43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0)</f>
        <v>0</v>
      </c>
      <c r="M543" s="43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0)</f>
        <v>0</v>
      </c>
      <c r="N543" s="43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3" s="43">
        <f t="shared" ca="1" si="379"/>
        <v>0</v>
      </c>
      <c r="P543" s="43">
        <f t="shared" ca="1" si="380"/>
        <v>0</v>
      </c>
      <c r="Q543" s="43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3" s="43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3" s="43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3" s="43">
        <f t="shared" ca="1" si="382"/>
        <v>0</v>
      </c>
      <c r="U543" s="43">
        <f t="shared" ca="1" si="383"/>
        <v>0</v>
      </c>
    </row>
    <row r="544" spans="1:21" ht="19.5" x14ac:dyDescent="0.3">
      <c r="A544" s="136"/>
      <c r="B544" s="137"/>
      <c r="C544" s="377" t="s">
        <v>18</v>
      </c>
      <c r="D544" s="138" t="s">
        <v>38</v>
      </c>
      <c r="E544" s="139"/>
      <c r="F544" s="139"/>
      <c r="G544" s="140"/>
      <c r="H544" s="141"/>
      <c r="I544" s="133"/>
      <c r="J544" s="41"/>
      <c r="K544" s="42"/>
      <c r="L544" s="42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92">I567</f>
        <v>0</v>
      </c>
      <c r="J555" s="376">
        <f t="shared" si="392"/>
        <v>0</v>
      </c>
      <c r="K555" s="368">
        <f>IF(I555&gt;0,J555*100/I555,0)</f>
        <v>0</v>
      </c>
      <c r="L555" s="369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x14ac:dyDescent="0.3">
      <c r="A556" s="126"/>
      <c r="B556" s="37"/>
      <c r="C556" s="127" t="s">
        <v>18</v>
      </c>
      <c r="D556" s="128" t="s">
        <v>19</v>
      </c>
      <c r="E556" s="37"/>
      <c r="F556" s="37"/>
      <c r="G556" s="39"/>
      <c r="H556" s="129" t="s">
        <v>14</v>
      </c>
      <c r="I556" s="41"/>
      <c r="J556" s="41"/>
      <c r="K556" s="42"/>
      <c r="L556" s="130">
        <f t="shared" ref="L556:N556" ca="1" si="393">L557+L558</f>
        <v>0</v>
      </c>
      <c r="M556" s="130">
        <f t="shared" ca="1" si="393"/>
        <v>0</v>
      </c>
      <c r="N556" s="130">
        <f t="shared" ca="1" si="393"/>
        <v>0</v>
      </c>
      <c r="O556" s="130">
        <f t="shared" ref="O556:O564" ca="1" si="394">IF(L556&gt;0,N556*100/L556,0)</f>
        <v>0</v>
      </c>
      <c r="P556" s="130">
        <f t="shared" ref="P556:P564" ca="1" si="395">IF(M556&gt;0,N556*100/M556,0)</f>
        <v>0</v>
      </c>
      <c r="Q556" s="130">
        <f t="shared" ref="Q556:S556" ca="1" si="396">Q557+Q558</f>
        <v>0</v>
      </c>
      <c r="R556" s="130">
        <f t="shared" ca="1" si="396"/>
        <v>0</v>
      </c>
      <c r="S556" s="130">
        <f t="shared" ca="1" si="396"/>
        <v>0</v>
      </c>
      <c r="T556" s="130">
        <f t="shared" ref="T556:T564" ca="1" si="397">IF(Q556&gt;0,S556*100/Q556,0)</f>
        <v>0</v>
      </c>
      <c r="U556" s="130">
        <f t="shared" ref="U556:U564" ca="1" si="398">IF(R556&gt;0,S556*100/R556,0)</f>
        <v>0</v>
      </c>
    </row>
    <row r="557" spans="1:21" ht="18.75" x14ac:dyDescent="0.25">
      <c r="A557" s="126"/>
      <c r="B557" s="156"/>
      <c r="C557" s="37"/>
      <c r="D557" s="37"/>
      <c r="E557" s="154" t="s">
        <v>20</v>
      </c>
      <c r="F557" s="37"/>
      <c r="G557" s="39"/>
      <c r="H557" s="155" t="s">
        <v>14</v>
      </c>
      <c r="I557" s="41"/>
      <c r="J557" s="41"/>
      <c r="K557" s="42"/>
      <c r="L557" s="45">
        <f t="shared" ref="L557:N557" ca="1" si="399">L560+L563</f>
        <v>0</v>
      </c>
      <c r="M557" s="45">
        <f t="shared" ca="1" si="399"/>
        <v>0</v>
      </c>
      <c r="N557" s="45">
        <f t="shared" ca="1" si="399"/>
        <v>0</v>
      </c>
      <c r="O557" s="45">
        <f t="shared" ca="1" si="394"/>
        <v>0</v>
      </c>
      <c r="P557" s="45">
        <f t="shared" ca="1" si="395"/>
        <v>0</v>
      </c>
      <c r="Q557" s="45">
        <f t="shared" ref="Q557:S557" ca="1" si="400">Q560+Q563</f>
        <v>0</v>
      </c>
      <c r="R557" s="45">
        <f t="shared" ca="1" si="400"/>
        <v>0</v>
      </c>
      <c r="S557" s="45">
        <f t="shared" ca="1" si="400"/>
        <v>0</v>
      </c>
      <c r="T557" s="45">
        <f t="shared" ca="1" si="397"/>
        <v>0</v>
      </c>
      <c r="U557" s="45">
        <f t="shared" ca="1" si="398"/>
        <v>0</v>
      </c>
    </row>
    <row r="558" spans="1:21" ht="18.75" x14ac:dyDescent="0.25">
      <c r="A558" s="126"/>
      <c r="B558" s="37"/>
      <c r="C558" s="156"/>
      <c r="D558" s="37"/>
      <c r="E558" s="215" t="s">
        <v>21</v>
      </c>
      <c r="F558" s="37"/>
      <c r="G558" s="39"/>
      <c r="H558" s="131" t="s">
        <v>14</v>
      </c>
      <c r="I558" s="41"/>
      <c r="J558" s="41"/>
      <c r="K558" s="42"/>
      <c r="L558" s="43">
        <f t="shared" ref="L558:N558" ca="1" si="401">L561+L564</f>
        <v>0</v>
      </c>
      <c r="M558" s="43">
        <f t="shared" ca="1" si="401"/>
        <v>0</v>
      </c>
      <c r="N558" s="43">
        <f t="shared" ca="1" si="401"/>
        <v>0</v>
      </c>
      <c r="O558" s="43">
        <f t="shared" ca="1" si="394"/>
        <v>0</v>
      </c>
      <c r="P558" s="43">
        <f t="shared" ca="1" si="395"/>
        <v>0</v>
      </c>
      <c r="Q558" s="43">
        <f t="shared" ref="Q558:S558" ca="1" si="402">Q561+Q564</f>
        <v>0</v>
      </c>
      <c r="R558" s="43">
        <f t="shared" ca="1" si="402"/>
        <v>0</v>
      </c>
      <c r="S558" s="43">
        <f t="shared" ca="1" si="402"/>
        <v>0</v>
      </c>
      <c r="T558" s="43">
        <f t="shared" ca="1" si="397"/>
        <v>0</v>
      </c>
      <c r="U558" s="43">
        <f t="shared" ca="1" si="398"/>
        <v>0</v>
      </c>
    </row>
    <row r="559" spans="1:21" ht="18.75" x14ac:dyDescent="0.25">
      <c r="A559" s="126"/>
      <c r="B559" s="37"/>
      <c r="C559" s="156"/>
      <c r="D559" s="38" t="s">
        <v>22</v>
      </c>
      <c r="E559" s="156"/>
      <c r="F559" s="37"/>
      <c r="G559" s="39"/>
      <c r="H559" s="132" t="s">
        <v>14</v>
      </c>
      <c r="I559" s="133"/>
      <c r="J559" s="133"/>
      <c r="K559" s="134"/>
      <c r="L559" s="43">
        <f t="shared" ref="L559:N559" ca="1" si="403">L560+L561</f>
        <v>0</v>
      </c>
      <c r="M559" s="43">
        <f t="shared" ca="1" si="403"/>
        <v>0</v>
      </c>
      <c r="N559" s="43">
        <f t="shared" ca="1" si="403"/>
        <v>0</v>
      </c>
      <c r="O559" s="43">
        <f t="shared" ca="1" si="394"/>
        <v>0</v>
      </c>
      <c r="P559" s="43">
        <f t="shared" ca="1" si="395"/>
        <v>0</v>
      </c>
      <c r="Q559" s="43">
        <f t="shared" ref="Q559:S559" ca="1" si="404">Q560+Q561</f>
        <v>0</v>
      </c>
      <c r="R559" s="43">
        <f t="shared" ca="1" si="404"/>
        <v>0</v>
      </c>
      <c r="S559" s="43">
        <f t="shared" ca="1" si="404"/>
        <v>0</v>
      </c>
      <c r="T559" s="43">
        <f t="shared" ca="1" si="397"/>
        <v>0</v>
      </c>
      <c r="U559" s="43">
        <f t="shared" ca="1" si="398"/>
        <v>0</v>
      </c>
    </row>
    <row r="560" spans="1:21" ht="18.75" x14ac:dyDescent="0.25">
      <c r="A560" s="126"/>
      <c r="B560" s="37"/>
      <c r="C560" s="37"/>
      <c r="D560" s="37"/>
      <c r="E560" s="154" t="s">
        <v>36</v>
      </c>
      <c r="F560" s="37"/>
      <c r="G560" s="39"/>
      <c r="H560" s="157" t="s">
        <v>14</v>
      </c>
      <c r="I560" s="133"/>
      <c r="J560" s="133"/>
      <c r="K560" s="134"/>
      <c r="L560" s="45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60" s="45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60" s="45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60" s="45">
        <f t="shared" ca="1" si="394"/>
        <v>0</v>
      </c>
      <c r="P560" s="45">
        <f t="shared" ca="1" si="395"/>
        <v>0</v>
      </c>
      <c r="Q560" s="45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60" s="45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60" s="45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60" s="45">
        <f t="shared" ca="1" si="397"/>
        <v>0</v>
      </c>
      <c r="U560" s="45">
        <f t="shared" ca="1" si="398"/>
        <v>0</v>
      </c>
    </row>
    <row r="561" spans="1:21" ht="18.75" x14ac:dyDescent="0.25">
      <c r="A561" s="126"/>
      <c r="B561" s="37"/>
      <c r="C561" s="37"/>
      <c r="D561" s="37"/>
      <c r="E561" s="44" t="s">
        <v>37</v>
      </c>
      <c r="F561" s="37"/>
      <c r="G561" s="39"/>
      <c r="H561" s="132" t="s">
        <v>14</v>
      </c>
      <c r="I561" s="133"/>
      <c r="J561" s="133"/>
      <c r="K561" s="134"/>
      <c r="L561" s="43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1" s="43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1" s="43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1" s="43">
        <f t="shared" ca="1" si="394"/>
        <v>0</v>
      </c>
      <c r="P561" s="43">
        <f t="shared" ca="1" si="395"/>
        <v>0</v>
      </c>
      <c r="Q561" s="43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1" s="43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1" s="43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1" s="43">
        <f t="shared" ca="1" si="397"/>
        <v>0</v>
      </c>
      <c r="U561" s="43">
        <f t="shared" ca="1" si="398"/>
        <v>0</v>
      </c>
    </row>
    <row r="562" spans="1:21" ht="18.75" x14ac:dyDescent="0.25">
      <c r="A562" s="126"/>
      <c r="B562" s="37"/>
      <c r="C562" s="37"/>
      <c r="D562" s="38" t="s">
        <v>23</v>
      </c>
      <c r="E562" s="37"/>
      <c r="F562" s="37"/>
      <c r="G562" s="39"/>
      <c r="H562" s="135" t="s">
        <v>14</v>
      </c>
      <c r="I562" s="133"/>
      <c r="J562" s="133"/>
      <c r="K562" s="134"/>
      <c r="L562" s="43">
        <f t="shared" ref="L562:N562" ca="1" si="405">L563+L564</f>
        <v>0</v>
      </c>
      <c r="M562" s="43">
        <f t="shared" ca="1" si="405"/>
        <v>0</v>
      </c>
      <c r="N562" s="43">
        <f t="shared" ca="1" si="405"/>
        <v>0</v>
      </c>
      <c r="O562" s="43">
        <f t="shared" ca="1" si="394"/>
        <v>0</v>
      </c>
      <c r="P562" s="43">
        <f t="shared" ca="1" si="395"/>
        <v>0</v>
      </c>
      <c r="Q562" s="43">
        <f t="shared" ref="Q562:S562" ca="1" si="406">Q563+Q564</f>
        <v>0</v>
      </c>
      <c r="R562" s="43">
        <f t="shared" ca="1" si="406"/>
        <v>0</v>
      </c>
      <c r="S562" s="43">
        <f t="shared" ca="1" si="406"/>
        <v>0</v>
      </c>
      <c r="T562" s="43">
        <f t="shared" ca="1" si="397"/>
        <v>0</v>
      </c>
      <c r="U562" s="43">
        <f t="shared" ca="1" si="398"/>
        <v>0</v>
      </c>
    </row>
    <row r="563" spans="1:21" ht="18.75" x14ac:dyDescent="0.25">
      <c r="A563" s="126"/>
      <c r="B563" s="37"/>
      <c r="C563" s="37"/>
      <c r="D563" s="37"/>
      <c r="E563" s="154" t="s">
        <v>20</v>
      </c>
      <c r="F563" s="37"/>
      <c r="G563" s="39"/>
      <c r="H563" s="157" t="s">
        <v>14</v>
      </c>
      <c r="I563" s="133"/>
      <c r="J563" s="133"/>
      <c r="K563" s="134"/>
      <c r="L563" s="45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3" s="45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3" s="45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3" s="45">
        <f t="shared" ca="1" si="394"/>
        <v>0</v>
      </c>
      <c r="P563" s="45">
        <f t="shared" ca="1" si="395"/>
        <v>0</v>
      </c>
      <c r="Q563" s="45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3" s="45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3" s="45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3" s="45">
        <f t="shared" ca="1" si="397"/>
        <v>0</v>
      </c>
      <c r="U563" s="45">
        <f t="shared" ca="1" si="398"/>
        <v>0</v>
      </c>
    </row>
    <row r="564" spans="1:21" ht="18.75" x14ac:dyDescent="0.25">
      <c r="A564" s="126"/>
      <c r="B564" s="37"/>
      <c r="C564" s="37"/>
      <c r="D564" s="37"/>
      <c r="E564" s="44" t="s">
        <v>21</v>
      </c>
      <c r="F564" s="37"/>
      <c r="G564" s="39"/>
      <c r="H564" s="135" t="s">
        <v>14</v>
      </c>
      <c r="I564" s="133"/>
      <c r="J564" s="133"/>
      <c r="K564" s="134"/>
      <c r="L564" s="43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0)</f>
        <v>0</v>
      </c>
      <c r="M564" s="43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0)</f>
        <v>0</v>
      </c>
      <c r="N564" s="43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0)</f>
        <v>0</v>
      </c>
      <c r="O564" s="43">
        <f t="shared" ca="1" si="394"/>
        <v>0</v>
      </c>
      <c r="P564" s="43">
        <f t="shared" ca="1" si="395"/>
        <v>0</v>
      </c>
      <c r="Q564" s="43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4" s="43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4" s="43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4" s="43">
        <f t="shared" ca="1" si="397"/>
        <v>0</v>
      </c>
      <c r="U564" s="43">
        <f t="shared" ca="1" si="398"/>
        <v>0</v>
      </c>
    </row>
    <row r="565" spans="1:21" ht="19.5" x14ac:dyDescent="0.3">
      <c r="A565" s="136"/>
      <c r="B565" s="137"/>
      <c r="C565" s="377" t="s">
        <v>18</v>
      </c>
      <c r="D565" s="138" t="s">
        <v>38</v>
      </c>
      <c r="E565" s="139"/>
      <c r="F565" s="139"/>
      <c r="G565" s="140"/>
      <c r="H565" s="141"/>
      <c r="I565" s="133"/>
      <c r="J565" s="41"/>
      <c r="K565" s="42"/>
      <c r="L565" s="42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407">I588</f>
        <v>0</v>
      </c>
      <c r="J576" s="376">
        <f t="shared" si="407"/>
        <v>0</v>
      </c>
      <c r="K576" s="368">
        <f>IF(I576&gt;0,J576*100/I576,0)</f>
        <v>0</v>
      </c>
      <c r="L576" s="369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x14ac:dyDescent="0.3">
      <c r="A577" s="126"/>
      <c r="B577" s="37"/>
      <c r="C577" s="127" t="s">
        <v>18</v>
      </c>
      <c r="D577" s="128" t="s">
        <v>19</v>
      </c>
      <c r="E577" s="37"/>
      <c r="F577" s="37"/>
      <c r="G577" s="39"/>
      <c r="H577" s="129" t="s">
        <v>14</v>
      </c>
      <c r="I577" s="41"/>
      <c r="J577" s="41"/>
      <c r="K577" s="42"/>
      <c r="L577" s="130">
        <f t="shared" ref="L577:N577" ca="1" si="408">L578+L579</f>
        <v>0</v>
      </c>
      <c r="M577" s="130">
        <f t="shared" ca="1" si="408"/>
        <v>0</v>
      </c>
      <c r="N577" s="130">
        <f t="shared" ca="1" si="408"/>
        <v>0</v>
      </c>
      <c r="O577" s="130">
        <f t="shared" ref="O577:O585" ca="1" si="409">IF(L577&gt;0,N577*100/L577,0)</f>
        <v>0</v>
      </c>
      <c r="P577" s="130">
        <f t="shared" ref="P577:P585" ca="1" si="410">IF(M577&gt;0,N577*100/M577,0)</f>
        <v>0</v>
      </c>
      <c r="Q577" s="130">
        <f t="shared" ref="Q577:S577" ca="1" si="411">Q578+Q579</f>
        <v>0</v>
      </c>
      <c r="R577" s="130">
        <f t="shared" ca="1" si="411"/>
        <v>0</v>
      </c>
      <c r="S577" s="130">
        <f t="shared" ca="1" si="411"/>
        <v>0</v>
      </c>
      <c r="T577" s="130">
        <f t="shared" ref="T577:T585" ca="1" si="412">IF(Q577&gt;0,S577*100/Q577,0)</f>
        <v>0</v>
      </c>
      <c r="U577" s="130">
        <f t="shared" ref="U577:U585" ca="1" si="413">IF(R577&gt;0,S577*100/R577,0)</f>
        <v>0</v>
      </c>
    </row>
    <row r="578" spans="1:21" ht="18.75" x14ac:dyDescent="0.25">
      <c r="A578" s="126"/>
      <c r="B578" s="156"/>
      <c r="C578" s="37"/>
      <c r="D578" s="37"/>
      <c r="E578" s="154" t="s">
        <v>20</v>
      </c>
      <c r="F578" s="37"/>
      <c r="G578" s="39"/>
      <c r="H578" s="155" t="s">
        <v>14</v>
      </c>
      <c r="I578" s="41"/>
      <c r="J578" s="41"/>
      <c r="K578" s="42"/>
      <c r="L578" s="45">
        <f t="shared" ref="L578:N578" ca="1" si="414">L581+L584</f>
        <v>0</v>
      </c>
      <c r="M578" s="45">
        <f t="shared" ca="1" si="414"/>
        <v>0</v>
      </c>
      <c r="N578" s="45">
        <f t="shared" ca="1" si="414"/>
        <v>0</v>
      </c>
      <c r="O578" s="45">
        <f t="shared" ca="1" si="409"/>
        <v>0</v>
      </c>
      <c r="P578" s="45">
        <f t="shared" ca="1" si="410"/>
        <v>0</v>
      </c>
      <c r="Q578" s="45">
        <f t="shared" ref="Q578:S578" ca="1" si="415">Q581+Q584</f>
        <v>0</v>
      </c>
      <c r="R578" s="45">
        <f t="shared" ca="1" si="415"/>
        <v>0</v>
      </c>
      <c r="S578" s="45">
        <f t="shared" ca="1" si="415"/>
        <v>0</v>
      </c>
      <c r="T578" s="45">
        <f t="shared" ca="1" si="412"/>
        <v>0</v>
      </c>
      <c r="U578" s="45">
        <f t="shared" ca="1" si="413"/>
        <v>0</v>
      </c>
    </row>
    <row r="579" spans="1:21" ht="18.75" x14ac:dyDescent="0.25">
      <c r="A579" s="126"/>
      <c r="B579" s="37"/>
      <c r="C579" s="156"/>
      <c r="D579" s="37"/>
      <c r="E579" s="215" t="s">
        <v>21</v>
      </c>
      <c r="F579" s="37"/>
      <c r="G579" s="39"/>
      <c r="H579" s="131" t="s">
        <v>14</v>
      </c>
      <c r="I579" s="41"/>
      <c r="J579" s="41"/>
      <c r="K579" s="42"/>
      <c r="L579" s="43">
        <f t="shared" ref="L579:N579" ca="1" si="416">L582+L585</f>
        <v>0</v>
      </c>
      <c r="M579" s="43">
        <f t="shared" ca="1" si="416"/>
        <v>0</v>
      </c>
      <c r="N579" s="43">
        <f t="shared" ca="1" si="416"/>
        <v>0</v>
      </c>
      <c r="O579" s="43">
        <f t="shared" ca="1" si="409"/>
        <v>0</v>
      </c>
      <c r="P579" s="43">
        <f t="shared" ca="1" si="410"/>
        <v>0</v>
      </c>
      <c r="Q579" s="43">
        <f t="shared" ref="Q579:S579" ca="1" si="417">Q582+Q585</f>
        <v>0</v>
      </c>
      <c r="R579" s="43">
        <f t="shared" ca="1" si="417"/>
        <v>0</v>
      </c>
      <c r="S579" s="43">
        <f t="shared" ca="1" si="417"/>
        <v>0</v>
      </c>
      <c r="T579" s="43">
        <f t="shared" ca="1" si="412"/>
        <v>0</v>
      </c>
      <c r="U579" s="43">
        <f t="shared" ca="1" si="413"/>
        <v>0</v>
      </c>
    </row>
    <row r="580" spans="1:21" ht="18.75" x14ac:dyDescent="0.25">
      <c r="A580" s="126"/>
      <c r="B580" s="37"/>
      <c r="C580" s="156"/>
      <c r="D580" s="38" t="s">
        <v>22</v>
      </c>
      <c r="E580" s="156"/>
      <c r="F580" s="37"/>
      <c r="G580" s="39"/>
      <c r="H580" s="132" t="s">
        <v>14</v>
      </c>
      <c r="I580" s="133"/>
      <c r="J580" s="133"/>
      <c r="K580" s="134"/>
      <c r="L580" s="43">
        <f t="shared" ref="L580:N580" ca="1" si="418">L581+L582</f>
        <v>0</v>
      </c>
      <c r="M580" s="43">
        <f t="shared" ca="1" si="418"/>
        <v>0</v>
      </c>
      <c r="N580" s="43">
        <f t="shared" ca="1" si="418"/>
        <v>0</v>
      </c>
      <c r="O580" s="43">
        <f t="shared" ca="1" si="409"/>
        <v>0</v>
      </c>
      <c r="P580" s="43">
        <f t="shared" ca="1" si="410"/>
        <v>0</v>
      </c>
      <c r="Q580" s="43">
        <f t="shared" ref="Q580:S580" ca="1" si="419">Q581+Q582</f>
        <v>0</v>
      </c>
      <c r="R580" s="43">
        <f t="shared" ca="1" si="419"/>
        <v>0</v>
      </c>
      <c r="S580" s="43">
        <f t="shared" ca="1" si="419"/>
        <v>0</v>
      </c>
      <c r="T580" s="43">
        <f t="shared" ca="1" si="412"/>
        <v>0</v>
      </c>
      <c r="U580" s="43">
        <f t="shared" ca="1" si="413"/>
        <v>0</v>
      </c>
    </row>
    <row r="581" spans="1:21" ht="18.75" x14ac:dyDescent="0.25">
      <c r="A581" s="126"/>
      <c r="B581" s="37"/>
      <c r="C581" s="37"/>
      <c r="D581" s="37"/>
      <c r="E581" s="154" t="s">
        <v>36</v>
      </c>
      <c r="F581" s="37"/>
      <c r="G581" s="39"/>
      <c r="H581" s="157" t="s">
        <v>14</v>
      </c>
      <c r="I581" s="133"/>
      <c r="J581" s="133"/>
      <c r="K581" s="134"/>
      <c r="L581" s="45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1" s="45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1" s="45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1" s="45">
        <f t="shared" ca="1" si="409"/>
        <v>0</v>
      </c>
      <c r="P581" s="45">
        <f t="shared" ca="1" si="410"/>
        <v>0</v>
      </c>
      <c r="Q581" s="45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1" s="45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1" s="45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1" s="45">
        <f t="shared" ca="1" si="412"/>
        <v>0</v>
      </c>
      <c r="U581" s="45">
        <f t="shared" ca="1" si="413"/>
        <v>0</v>
      </c>
    </row>
    <row r="582" spans="1:21" ht="18.75" x14ac:dyDescent="0.25">
      <c r="A582" s="126"/>
      <c r="B582" s="37"/>
      <c r="C582" s="37"/>
      <c r="D582" s="37"/>
      <c r="E582" s="44" t="s">
        <v>37</v>
      </c>
      <c r="F582" s="37"/>
      <c r="G582" s="39"/>
      <c r="H582" s="132" t="s">
        <v>14</v>
      </c>
      <c r="I582" s="133"/>
      <c r="J582" s="133"/>
      <c r="K582" s="134"/>
      <c r="L582" s="43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0)</f>
        <v>0</v>
      </c>
      <c r="M582" s="43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0)</f>
        <v>0</v>
      </c>
      <c r="N582" s="43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0)</f>
        <v>0</v>
      </c>
      <c r="O582" s="43">
        <f t="shared" ca="1" si="409"/>
        <v>0</v>
      </c>
      <c r="P582" s="43">
        <f t="shared" ca="1" si="410"/>
        <v>0</v>
      </c>
      <c r="Q582" s="43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2" s="43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2" s="43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2" s="43">
        <f t="shared" ca="1" si="412"/>
        <v>0</v>
      </c>
      <c r="U582" s="43">
        <f t="shared" ca="1" si="413"/>
        <v>0</v>
      </c>
    </row>
    <row r="583" spans="1:21" ht="18.75" x14ac:dyDescent="0.25">
      <c r="A583" s="126"/>
      <c r="B583" s="37"/>
      <c r="C583" s="37"/>
      <c r="D583" s="38" t="s">
        <v>23</v>
      </c>
      <c r="E583" s="37"/>
      <c r="F583" s="37"/>
      <c r="G583" s="39"/>
      <c r="H583" s="135" t="s">
        <v>14</v>
      </c>
      <c r="I583" s="133"/>
      <c r="J583" s="133"/>
      <c r="K583" s="134"/>
      <c r="L583" s="43">
        <f t="shared" ref="L583:N583" ca="1" si="420">L584+L585</f>
        <v>0</v>
      </c>
      <c r="M583" s="43">
        <f t="shared" ca="1" si="420"/>
        <v>0</v>
      </c>
      <c r="N583" s="43">
        <f t="shared" ca="1" si="420"/>
        <v>0</v>
      </c>
      <c r="O583" s="43">
        <f t="shared" ca="1" si="409"/>
        <v>0</v>
      </c>
      <c r="P583" s="43">
        <f t="shared" ca="1" si="410"/>
        <v>0</v>
      </c>
      <c r="Q583" s="43">
        <f t="shared" ref="Q583:S583" ca="1" si="421">Q584+Q585</f>
        <v>0</v>
      </c>
      <c r="R583" s="43">
        <f t="shared" ca="1" si="421"/>
        <v>0</v>
      </c>
      <c r="S583" s="43">
        <f t="shared" ca="1" si="421"/>
        <v>0</v>
      </c>
      <c r="T583" s="43">
        <f t="shared" ca="1" si="412"/>
        <v>0</v>
      </c>
      <c r="U583" s="43">
        <f t="shared" ca="1" si="413"/>
        <v>0</v>
      </c>
    </row>
    <row r="584" spans="1:21" ht="18.75" x14ac:dyDescent="0.25">
      <c r="A584" s="126"/>
      <c r="B584" s="37"/>
      <c r="C584" s="37"/>
      <c r="D584" s="37"/>
      <c r="E584" s="154" t="s">
        <v>20</v>
      </c>
      <c r="F584" s="37"/>
      <c r="G584" s="39"/>
      <c r="H584" s="157" t="s">
        <v>14</v>
      </c>
      <c r="I584" s="133"/>
      <c r="J584" s="133"/>
      <c r="K584" s="134"/>
      <c r="L584" s="45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4" s="45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4" s="45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4" s="45">
        <f t="shared" ca="1" si="409"/>
        <v>0</v>
      </c>
      <c r="P584" s="45">
        <f t="shared" ca="1" si="410"/>
        <v>0</v>
      </c>
      <c r="Q584" s="45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4" s="45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4" s="45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4" s="45">
        <f t="shared" ca="1" si="412"/>
        <v>0</v>
      </c>
      <c r="U584" s="45">
        <f t="shared" ca="1" si="413"/>
        <v>0</v>
      </c>
    </row>
    <row r="585" spans="1:21" ht="18.75" x14ac:dyDescent="0.25">
      <c r="A585" s="126"/>
      <c r="B585" s="37"/>
      <c r="C585" s="37"/>
      <c r="D585" s="37"/>
      <c r="E585" s="44" t="s">
        <v>21</v>
      </c>
      <c r="F585" s="37"/>
      <c r="G585" s="39"/>
      <c r="H585" s="135" t="s">
        <v>14</v>
      </c>
      <c r="I585" s="133"/>
      <c r="J585" s="133"/>
      <c r="K585" s="134"/>
      <c r="L585" s="43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5" s="43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5" s="43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5" s="43">
        <f t="shared" ca="1" si="409"/>
        <v>0</v>
      </c>
      <c r="P585" s="43">
        <f t="shared" ca="1" si="410"/>
        <v>0</v>
      </c>
      <c r="Q585" s="43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5" s="43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5" s="43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5" s="43">
        <f t="shared" ca="1" si="412"/>
        <v>0</v>
      </c>
      <c r="U585" s="43">
        <f t="shared" ca="1" si="413"/>
        <v>0</v>
      </c>
    </row>
    <row r="586" spans="1:21" ht="19.5" x14ac:dyDescent="0.3">
      <c r="A586" s="136"/>
      <c r="B586" s="137"/>
      <c r="C586" s="377" t="s">
        <v>18</v>
      </c>
      <c r="D586" s="138" t="s">
        <v>38</v>
      </c>
      <c r="E586" s="139"/>
      <c r="F586" s="139"/>
      <c r="G586" s="140"/>
      <c r="H586" s="141"/>
      <c r="I586" s="133"/>
      <c r="J586" s="41"/>
      <c r="K586" s="42"/>
      <c r="L586" s="42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1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130">
        <f t="shared" ref="L600:N600" ca="1" si="422">L601+L602</f>
        <v>0</v>
      </c>
      <c r="M600" s="130">
        <f t="shared" ca="1" si="422"/>
        <v>0</v>
      </c>
      <c r="N600" s="130">
        <f t="shared" ca="1" si="422"/>
        <v>0</v>
      </c>
      <c r="O600" s="130">
        <f t="shared" ref="O600:O608" ca="1" si="423">IF(L600&gt;0,N600*100/L600,0)</f>
        <v>0</v>
      </c>
      <c r="P600" s="130">
        <f t="shared" ref="P600:P608" ca="1" si="424">IF(M600&gt;0,N600*100/M600,0)</f>
        <v>0</v>
      </c>
      <c r="Q600" s="130">
        <f t="shared" ref="Q600:S600" ca="1" si="425">Q601+Q602</f>
        <v>0</v>
      </c>
      <c r="R600" s="130">
        <f t="shared" ca="1" si="425"/>
        <v>0</v>
      </c>
      <c r="S600" s="130">
        <f t="shared" ca="1" si="425"/>
        <v>0</v>
      </c>
      <c r="T600" s="130">
        <f t="shared" ref="T600:T608" ca="1" si="426">IF(Q600&gt;0,S600*100/Q600,0)</f>
        <v>0</v>
      </c>
      <c r="U600" s="130">
        <f t="shared" ref="U600:U608" ca="1" si="427">IF(R600&gt;0,S600*100/R600,0)</f>
        <v>0</v>
      </c>
    </row>
    <row r="601" spans="1:21" ht="18.75" hidden="1" x14ac:dyDescent="0.25">
      <c r="A601" s="126"/>
      <c r="B601" s="156"/>
      <c r="C601" s="156"/>
      <c r="D601" s="143"/>
      <c r="E601" s="154" t="s">
        <v>158</v>
      </c>
      <c r="F601" s="37"/>
      <c r="G601" s="39"/>
      <c r="H601" s="157" t="s">
        <v>14</v>
      </c>
      <c r="I601" s="41"/>
      <c r="J601" s="41"/>
      <c r="K601" s="42"/>
      <c r="L601" s="45">
        <f t="shared" ref="L601:N601" ca="1" si="428">L604+L607</f>
        <v>0</v>
      </c>
      <c r="M601" s="45">
        <f t="shared" ca="1" si="428"/>
        <v>0</v>
      </c>
      <c r="N601" s="45">
        <f t="shared" ca="1" si="428"/>
        <v>0</v>
      </c>
      <c r="O601" s="45">
        <f t="shared" ca="1" si="423"/>
        <v>0</v>
      </c>
      <c r="P601" s="45">
        <f t="shared" ca="1" si="424"/>
        <v>0</v>
      </c>
      <c r="Q601" s="45">
        <f t="shared" ref="Q601:S601" ca="1" si="429">Q604+Q607</f>
        <v>0</v>
      </c>
      <c r="R601" s="45">
        <f t="shared" ca="1" si="429"/>
        <v>0</v>
      </c>
      <c r="S601" s="45">
        <f t="shared" ca="1" si="429"/>
        <v>0</v>
      </c>
      <c r="T601" s="45">
        <f t="shared" ca="1" si="426"/>
        <v>0</v>
      </c>
      <c r="U601" s="45">
        <f t="shared" ca="1" si="427"/>
        <v>0</v>
      </c>
    </row>
    <row r="602" spans="1:21" ht="18.75" hidden="1" x14ac:dyDescent="0.25">
      <c r="A602" s="126"/>
      <c r="B602" s="156"/>
      <c r="C602" s="156"/>
      <c r="D602" s="143"/>
      <c r="E602" s="154" t="s">
        <v>159</v>
      </c>
      <c r="F602" s="37"/>
      <c r="G602" s="39"/>
      <c r="H602" s="157" t="s">
        <v>14</v>
      </c>
      <c r="I602" s="41"/>
      <c r="J602" s="41"/>
      <c r="K602" s="42"/>
      <c r="L602" s="43">
        <f t="shared" ref="L602:N602" ca="1" si="430">L605+L608</f>
        <v>0</v>
      </c>
      <c r="M602" s="43">
        <f t="shared" ca="1" si="430"/>
        <v>0</v>
      </c>
      <c r="N602" s="43">
        <f t="shared" ca="1" si="430"/>
        <v>0</v>
      </c>
      <c r="O602" s="43">
        <f t="shared" ca="1" si="423"/>
        <v>0</v>
      </c>
      <c r="P602" s="43">
        <f t="shared" ca="1" si="424"/>
        <v>0</v>
      </c>
      <c r="Q602" s="43">
        <f t="shared" ref="Q602:S602" ca="1" si="431">Q605+Q608</f>
        <v>0</v>
      </c>
      <c r="R602" s="43">
        <f t="shared" ca="1" si="431"/>
        <v>0</v>
      </c>
      <c r="S602" s="43">
        <f t="shared" ca="1" si="431"/>
        <v>0</v>
      </c>
      <c r="T602" s="43">
        <f t="shared" ca="1" si="426"/>
        <v>0</v>
      </c>
      <c r="U602" s="43">
        <f t="shared" ca="1" si="427"/>
        <v>0</v>
      </c>
    </row>
    <row r="603" spans="1:21" ht="19.5" hidden="1" x14ac:dyDescent="0.3">
      <c r="A603" s="126"/>
      <c r="B603" s="156"/>
      <c r="C603" s="156"/>
      <c r="D603" s="385" t="s">
        <v>22</v>
      </c>
      <c r="E603" s="37"/>
      <c r="F603" s="37"/>
      <c r="G603" s="39"/>
      <c r="H603" s="384" t="s">
        <v>14</v>
      </c>
      <c r="I603" s="133"/>
      <c r="J603" s="133"/>
      <c r="K603" s="134"/>
      <c r="L603" s="43">
        <f t="shared" ref="L603:N603" ca="1" si="432">L604+L605</f>
        <v>0</v>
      </c>
      <c r="M603" s="43">
        <f t="shared" ca="1" si="432"/>
        <v>0</v>
      </c>
      <c r="N603" s="43">
        <f t="shared" ca="1" si="432"/>
        <v>0</v>
      </c>
      <c r="O603" s="43">
        <f t="shared" ca="1" si="423"/>
        <v>0</v>
      </c>
      <c r="P603" s="43">
        <f t="shared" ca="1" si="424"/>
        <v>0</v>
      </c>
      <c r="Q603" s="43">
        <f t="shared" ref="Q603:S603" ca="1" si="433">Q604+Q605</f>
        <v>0</v>
      </c>
      <c r="R603" s="43">
        <f t="shared" ca="1" si="433"/>
        <v>0</v>
      </c>
      <c r="S603" s="43">
        <f t="shared" ca="1" si="433"/>
        <v>0</v>
      </c>
      <c r="T603" s="43">
        <f t="shared" ca="1" si="426"/>
        <v>0</v>
      </c>
      <c r="U603" s="43">
        <f t="shared" ca="1" si="427"/>
        <v>0</v>
      </c>
    </row>
    <row r="604" spans="1:21" ht="18.75" hidden="1" x14ac:dyDescent="0.25">
      <c r="A604" s="126"/>
      <c r="B604" s="156"/>
      <c r="C604" s="156"/>
      <c r="D604" s="143"/>
      <c r="E604" s="154" t="s">
        <v>158</v>
      </c>
      <c r="F604" s="37"/>
      <c r="G604" s="39"/>
      <c r="H604" s="157" t="s">
        <v>14</v>
      </c>
      <c r="I604" s="41"/>
      <c r="J604" s="41"/>
      <c r="K604" s="42"/>
      <c r="L604" s="45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4" s="45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4" s="45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4" s="45">
        <f t="shared" ca="1" si="423"/>
        <v>0</v>
      </c>
      <c r="P604" s="45">
        <f t="shared" ca="1" si="424"/>
        <v>0</v>
      </c>
      <c r="Q604" s="45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4" s="45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4" s="45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4" s="45">
        <f t="shared" ca="1" si="426"/>
        <v>0</v>
      </c>
      <c r="U604" s="45">
        <f t="shared" ca="1" si="427"/>
        <v>0</v>
      </c>
    </row>
    <row r="605" spans="1:21" ht="18.75" hidden="1" x14ac:dyDescent="0.25">
      <c r="A605" s="126"/>
      <c r="B605" s="156"/>
      <c r="C605" s="156"/>
      <c r="D605" s="143"/>
      <c r="E605" s="154" t="s">
        <v>159</v>
      </c>
      <c r="F605" s="37"/>
      <c r="G605" s="39"/>
      <c r="H605" s="157" t="s">
        <v>14</v>
      </c>
      <c r="I605" s="41"/>
      <c r="J605" s="41"/>
      <c r="K605" s="42"/>
      <c r="L605" s="43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0)</f>
        <v>0</v>
      </c>
      <c r="M605" s="43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0)</f>
        <v>0</v>
      </c>
      <c r="N605" s="43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0)</f>
        <v>0</v>
      </c>
      <c r="O605" s="43">
        <f t="shared" ca="1" si="423"/>
        <v>0</v>
      </c>
      <c r="P605" s="43">
        <f t="shared" ca="1" si="424"/>
        <v>0</v>
      </c>
      <c r="Q605" s="43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5" s="43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5" s="43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5" s="43">
        <f t="shared" ca="1" si="426"/>
        <v>0</v>
      </c>
      <c r="U605" s="43">
        <f t="shared" ca="1" si="427"/>
        <v>0</v>
      </c>
    </row>
    <row r="606" spans="1:21" ht="19.5" hidden="1" x14ac:dyDescent="0.3">
      <c r="A606" s="126"/>
      <c r="B606" s="156"/>
      <c r="C606" s="156"/>
      <c r="D606" s="385" t="s">
        <v>23</v>
      </c>
      <c r="E606" s="156"/>
      <c r="F606" s="37"/>
      <c r="G606" s="39"/>
      <c r="H606" s="386" t="s">
        <v>14</v>
      </c>
      <c r="I606" s="133"/>
      <c r="J606" s="133"/>
      <c r="K606" s="134"/>
      <c r="L606" s="43">
        <f t="shared" ref="L606:N606" ca="1" si="434">L607+L608</f>
        <v>0</v>
      </c>
      <c r="M606" s="43">
        <f t="shared" ca="1" si="434"/>
        <v>0</v>
      </c>
      <c r="N606" s="43">
        <f t="shared" ca="1" si="434"/>
        <v>0</v>
      </c>
      <c r="O606" s="43">
        <f t="shared" ca="1" si="423"/>
        <v>0</v>
      </c>
      <c r="P606" s="43">
        <f t="shared" ca="1" si="424"/>
        <v>0</v>
      </c>
      <c r="Q606" s="43">
        <f t="shared" ref="Q606:S606" ca="1" si="435">Q607+Q608</f>
        <v>0</v>
      </c>
      <c r="R606" s="43">
        <f t="shared" ca="1" si="435"/>
        <v>0</v>
      </c>
      <c r="S606" s="43">
        <f t="shared" ca="1" si="435"/>
        <v>0</v>
      </c>
      <c r="T606" s="43">
        <f t="shared" ca="1" si="426"/>
        <v>0</v>
      </c>
      <c r="U606" s="43">
        <f t="shared" ca="1" si="427"/>
        <v>0</v>
      </c>
    </row>
    <row r="607" spans="1:21" ht="18.75" hidden="1" x14ac:dyDescent="0.25">
      <c r="A607" s="126"/>
      <c r="B607" s="156"/>
      <c r="C607" s="156"/>
      <c r="D607" s="156"/>
      <c r="E607" s="325" t="s">
        <v>20</v>
      </c>
      <c r="F607" s="37"/>
      <c r="G607" s="39"/>
      <c r="H607" s="157" t="s">
        <v>14</v>
      </c>
      <c r="I607" s="133"/>
      <c r="J607" s="133"/>
      <c r="K607" s="134"/>
      <c r="L607" s="45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7" s="45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7" s="45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7" s="45">
        <f t="shared" ca="1" si="423"/>
        <v>0</v>
      </c>
      <c r="P607" s="45">
        <f t="shared" ca="1" si="424"/>
        <v>0</v>
      </c>
      <c r="Q607" s="45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7" s="45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7" s="45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7" s="45">
        <f t="shared" ca="1" si="426"/>
        <v>0</v>
      </c>
      <c r="U607" s="45">
        <f t="shared" ca="1" si="427"/>
        <v>0</v>
      </c>
    </row>
    <row r="608" spans="1:21" ht="18.75" hidden="1" x14ac:dyDescent="0.25">
      <c r="A608" s="126"/>
      <c r="B608" s="156"/>
      <c r="C608" s="156"/>
      <c r="D608" s="37"/>
      <c r="E608" s="325" t="s">
        <v>21</v>
      </c>
      <c r="F608" s="37"/>
      <c r="G608" s="39"/>
      <c r="H608" s="387" t="s">
        <v>14</v>
      </c>
      <c r="I608" s="133"/>
      <c r="J608" s="133"/>
      <c r="K608" s="134"/>
      <c r="L608" s="43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8" s="43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8" s="43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8" s="43">
        <f t="shared" ca="1" si="423"/>
        <v>0</v>
      </c>
      <c r="P608" s="43">
        <f t="shared" ca="1" si="424"/>
        <v>0</v>
      </c>
      <c r="Q608" s="43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8" s="43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8" s="43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8" s="43">
        <f t="shared" ca="1" si="426"/>
        <v>0</v>
      </c>
      <c r="U608" s="43">
        <f t="shared" ca="1" si="427"/>
        <v>0</v>
      </c>
    </row>
    <row r="609" spans="1:21" ht="19.5" hidden="1" x14ac:dyDescent="0.3">
      <c r="A609" s="136"/>
      <c r="B609" s="137"/>
      <c r="C609" s="178" t="s">
        <v>18</v>
      </c>
      <c r="D609" s="388" t="s">
        <v>38</v>
      </c>
      <c r="E609" s="139"/>
      <c r="F609" s="139"/>
      <c r="G609" s="140"/>
      <c r="H609" s="179"/>
      <c r="I609" s="133"/>
      <c r="J609" s="133"/>
      <c r="K609" s="134"/>
      <c r="L609" s="42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43"/>
      <c r="F610" s="143"/>
      <c r="G610" s="141"/>
      <c r="H610" s="157" t="s">
        <v>99</v>
      </c>
      <c r="I610" s="41"/>
      <c r="J610" s="41"/>
      <c r="K610" s="134"/>
      <c r="L610" s="42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43"/>
      <c r="F611" s="143"/>
      <c r="G611" s="141"/>
      <c r="H611" s="384" t="s">
        <v>35</v>
      </c>
      <c r="I611" s="41"/>
      <c r="J611" s="41"/>
      <c r="K611" s="134"/>
      <c r="L611" s="42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43"/>
      <c r="G612" s="141"/>
      <c r="H612" s="387" t="s">
        <v>35</v>
      </c>
      <c r="I612" s="41"/>
      <c r="J612" s="41"/>
      <c r="K612" s="134"/>
      <c r="L612" s="42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8.75" hidden="1" x14ac:dyDescent="0.25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405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412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418">
        <f t="shared" ref="I616:J616" ca="1" si="436">I627</f>
        <v>700</v>
      </c>
      <c r="J616" s="418">
        <f t="shared" ca="1" si="436"/>
        <v>0</v>
      </c>
      <c r="K616" s="419">
        <f ca="1">IF(I616&gt;0,J616*100/I616,0)</f>
        <v>0</v>
      </c>
      <c r="L616" s="420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14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130">
        <f t="shared" ref="L617:N617" ca="1" si="437">L618+L619</f>
        <v>0</v>
      </c>
      <c r="M617" s="130">
        <f t="shared" ca="1" si="437"/>
        <v>0</v>
      </c>
      <c r="N617" s="130">
        <f t="shared" ca="1" si="437"/>
        <v>0</v>
      </c>
      <c r="O617" s="130">
        <f t="shared" ref="O617:O625" ca="1" si="438">IF(L617&gt;0,N617*100/L617,0)</f>
        <v>0</v>
      </c>
      <c r="P617" s="130">
        <f t="shared" ref="P617:P625" ca="1" si="439">IF(M617&gt;0,N617*100/M617,0)</f>
        <v>0</v>
      </c>
      <c r="Q617" s="130">
        <f t="shared" ref="Q617:S617" ca="1" si="440">Q618+Q619</f>
        <v>101100</v>
      </c>
      <c r="R617" s="130">
        <f t="shared" ca="1" si="440"/>
        <v>101100</v>
      </c>
      <c r="S617" s="130">
        <f t="shared" ca="1" si="440"/>
        <v>1210</v>
      </c>
      <c r="T617" s="130">
        <f t="shared" ref="T617:T625" ca="1" si="441">IF(Q617&gt;0,S617*100/Q617,0)</f>
        <v>1.1968348170128587</v>
      </c>
      <c r="U617" s="130">
        <f t="shared" ref="U617:U625" ca="1" si="442">IF(R617&gt;0,S617*100/R617,0)</f>
        <v>1.1968348170128587</v>
      </c>
    </row>
    <row r="618" spans="1:21" ht="18.75" x14ac:dyDescent="0.25">
      <c r="A618" s="126"/>
      <c r="B618" s="156"/>
      <c r="C618" s="156"/>
      <c r="D618" s="143"/>
      <c r="E618" s="154" t="s">
        <v>158</v>
      </c>
      <c r="F618" s="37"/>
      <c r="G618" s="39"/>
      <c r="H618" s="157" t="s">
        <v>14</v>
      </c>
      <c r="I618" s="41"/>
      <c r="J618" s="41"/>
      <c r="K618" s="42"/>
      <c r="L618" s="45">
        <f t="shared" ref="L618:N618" ca="1" si="443">L621+L624</f>
        <v>0</v>
      </c>
      <c r="M618" s="45">
        <f t="shared" ca="1" si="443"/>
        <v>0</v>
      </c>
      <c r="N618" s="45">
        <f t="shared" ca="1" si="443"/>
        <v>0</v>
      </c>
      <c r="O618" s="45">
        <f t="shared" ca="1" si="438"/>
        <v>0</v>
      </c>
      <c r="P618" s="45">
        <f t="shared" ca="1" si="439"/>
        <v>0</v>
      </c>
      <c r="Q618" s="45">
        <f t="shared" ref="Q618:S618" ca="1" si="444">Q621+Q624</f>
        <v>0</v>
      </c>
      <c r="R618" s="45">
        <f t="shared" ca="1" si="444"/>
        <v>0</v>
      </c>
      <c r="S618" s="45">
        <f t="shared" ca="1" si="444"/>
        <v>0</v>
      </c>
      <c r="T618" s="45">
        <f t="shared" ca="1" si="441"/>
        <v>0</v>
      </c>
      <c r="U618" s="45">
        <f t="shared" ca="1" si="442"/>
        <v>0</v>
      </c>
    </row>
    <row r="619" spans="1:21" ht="18.75" x14ac:dyDescent="0.25">
      <c r="A619" s="126"/>
      <c r="B619" s="156"/>
      <c r="C619" s="156"/>
      <c r="D619" s="143"/>
      <c r="E619" s="44" t="s">
        <v>159</v>
      </c>
      <c r="F619" s="37"/>
      <c r="G619" s="39"/>
      <c r="H619" s="132" t="s">
        <v>14</v>
      </c>
      <c r="I619" s="41"/>
      <c r="J619" s="41"/>
      <c r="K619" s="42"/>
      <c r="L619" s="43">
        <f t="shared" ref="L619:N619" ca="1" si="445">L622+L625</f>
        <v>0</v>
      </c>
      <c r="M619" s="43">
        <f t="shared" ca="1" si="445"/>
        <v>0</v>
      </c>
      <c r="N619" s="43">
        <f t="shared" ca="1" si="445"/>
        <v>0</v>
      </c>
      <c r="O619" s="43">
        <f t="shared" ca="1" si="438"/>
        <v>0</v>
      </c>
      <c r="P619" s="43">
        <f t="shared" ca="1" si="439"/>
        <v>0</v>
      </c>
      <c r="Q619" s="43">
        <f t="shared" ref="Q619:S619" ca="1" si="446">Q622+Q625</f>
        <v>101100</v>
      </c>
      <c r="R619" s="43">
        <f t="shared" ca="1" si="446"/>
        <v>101100</v>
      </c>
      <c r="S619" s="43">
        <f t="shared" ca="1" si="446"/>
        <v>1210</v>
      </c>
      <c r="T619" s="43">
        <f t="shared" ca="1" si="441"/>
        <v>1.1968348170128587</v>
      </c>
      <c r="U619" s="43">
        <f t="shared" ca="1" si="442"/>
        <v>1.1968348170128587</v>
      </c>
    </row>
    <row r="620" spans="1:21" ht="18.75" x14ac:dyDescent="0.25">
      <c r="A620" s="126"/>
      <c r="B620" s="156"/>
      <c r="C620" s="156"/>
      <c r="D620" s="38" t="s">
        <v>22</v>
      </c>
      <c r="E620" s="37"/>
      <c r="F620" s="37"/>
      <c r="G620" s="39"/>
      <c r="H620" s="132" t="s">
        <v>14</v>
      </c>
      <c r="I620" s="133"/>
      <c r="J620" s="133"/>
      <c r="K620" s="134"/>
      <c r="L620" s="43">
        <f t="shared" ref="L620:N620" ca="1" si="447">L621+L622</f>
        <v>0</v>
      </c>
      <c r="M620" s="43">
        <f t="shared" ca="1" si="447"/>
        <v>0</v>
      </c>
      <c r="N620" s="43">
        <f t="shared" ca="1" si="447"/>
        <v>0</v>
      </c>
      <c r="O620" s="43">
        <f t="shared" ca="1" si="438"/>
        <v>0</v>
      </c>
      <c r="P620" s="43">
        <f t="shared" ca="1" si="439"/>
        <v>0</v>
      </c>
      <c r="Q620" s="43">
        <f t="shared" ref="Q620:S620" ca="1" si="448">Q621+Q622</f>
        <v>101100</v>
      </c>
      <c r="R620" s="43">
        <f t="shared" ca="1" si="448"/>
        <v>101100</v>
      </c>
      <c r="S620" s="43">
        <f t="shared" ca="1" si="448"/>
        <v>1210</v>
      </c>
      <c r="T620" s="43">
        <f t="shared" ca="1" si="441"/>
        <v>1.1968348170128587</v>
      </c>
      <c r="U620" s="43">
        <f t="shared" ca="1" si="442"/>
        <v>1.1968348170128587</v>
      </c>
    </row>
    <row r="621" spans="1:21" ht="18.75" x14ac:dyDescent="0.25">
      <c r="A621" s="126"/>
      <c r="B621" s="156"/>
      <c r="C621" s="156"/>
      <c r="D621" s="143"/>
      <c r="E621" s="154" t="s">
        <v>158</v>
      </c>
      <c r="F621" s="37"/>
      <c r="G621" s="39"/>
      <c r="H621" s="157" t="s">
        <v>14</v>
      </c>
      <c r="I621" s="41"/>
      <c r="J621" s="41"/>
      <c r="K621" s="42"/>
      <c r="L621" s="45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1" s="45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1" s="45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1" s="45">
        <f t="shared" ca="1" si="438"/>
        <v>0</v>
      </c>
      <c r="P621" s="45">
        <f t="shared" ca="1" si="439"/>
        <v>0</v>
      </c>
      <c r="Q621" s="45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1" s="45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1" s="45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1" s="45">
        <f t="shared" ca="1" si="441"/>
        <v>0</v>
      </c>
      <c r="U621" s="45">
        <f t="shared" ca="1" si="442"/>
        <v>0</v>
      </c>
    </row>
    <row r="622" spans="1:21" ht="18.75" x14ac:dyDescent="0.25">
      <c r="A622" s="126"/>
      <c r="B622" s="156"/>
      <c r="C622" s="156"/>
      <c r="D622" s="143"/>
      <c r="E622" s="44" t="s">
        <v>159</v>
      </c>
      <c r="F622" s="37"/>
      <c r="G622" s="39"/>
      <c r="H622" s="132" t="s">
        <v>14</v>
      </c>
      <c r="I622" s="41"/>
      <c r="J622" s="41"/>
      <c r="K622" s="42"/>
      <c r="L622" s="43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2" s="43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2" s="43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2" s="43">
        <f t="shared" ca="1" si="438"/>
        <v>0</v>
      </c>
      <c r="P622" s="43">
        <f t="shared" ca="1" si="439"/>
        <v>0</v>
      </c>
      <c r="Q622" s="43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2" s="43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101100)</f>
        <v>101100</v>
      </c>
      <c r="S622" s="43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1210)</f>
        <v>1210</v>
      </c>
      <c r="T622" s="43">
        <f t="shared" ca="1" si="441"/>
        <v>1.1968348170128587</v>
      </c>
      <c r="U622" s="43">
        <f t="shared" ca="1" si="442"/>
        <v>1.1968348170128587</v>
      </c>
    </row>
    <row r="623" spans="1:21" ht="18.75" x14ac:dyDescent="0.25">
      <c r="A623" s="126"/>
      <c r="B623" s="156"/>
      <c r="C623" s="156"/>
      <c r="D623" s="38" t="s">
        <v>23</v>
      </c>
      <c r="E623" s="37"/>
      <c r="F623" s="37"/>
      <c r="G623" s="39"/>
      <c r="H623" s="135" t="s">
        <v>14</v>
      </c>
      <c r="I623" s="133"/>
      <c r="J623" s="133"/>
      <c r="K623" s="134"/>
      <c r="L623" s="43">
        <f t="shared" ref="L623:N623" ca="1" si="449">L624+L625</f>
        <v>0</v>
      </c>
      <c r="M623" s="43">
        <f t="shared" ca="1" si="449"/>
        <v>0</v>
      </c>
      <c r="N623" s="43">
        <f t="shared" ca="1" si="449"/>
        <v>0</v>
      </c>
      <c r="O623" s="43">
        <f t="shared" ca="1" si="438"/>
        <v>0</v>
      </c>
      <c r="P623" s="43">
        <f t="shared" ca="1" si="439"/>
        <v>0</v>
      </c>
      <c r="Q623" s="43">
        <f t="shared" ref="Q623:S623" ca="1" si="450">Q624+Q625</f>
        <v>0</v>
      </c>
      <c r="R623" s="43">
        <f t="shared" ca="1" si="450"/>
        <v>0</v>
      </c>
      <c r="S623" s="43">
        <f t="shared" ca="1" si="450"/>
        <v>0</v>
      </c>
      <c r="T623" s="43">
        <f t="shared" ca="1" si="441"/>
        <v>0</v>
      </c>
      <c r="U623" s="43">
        <f t="shared" ca="1" si="442"/>
        <v>0</v>
      </c>
    </row>
    <row r="624" spans="1:21" ht="18.75" x14ac:dyDescent="0.25">
      <c r="A624" s="126"/>
      <c r="B624" s="156"/>
      <c r="C624" s="156"/>
      <c r="D624" s="156"/>
      <c r="E624" s="154" t="s">
        <v>20</v>
      </c>
      <c r="F624" s="37"/>
      <c r="G624" s="39"/>
      <c r="H624" s="157" t="s">
        <v>14</v>
      </c>
      <c r="I624" s="133"/>
      <c r="J624" s="133"/>
      <c r="K624" s="134"/>
      <c r="L624" s="45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4" s="45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4" s="45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4" s="45">
        <f t="shared" ca="1" si="438"/>
        <v>0</v>
      </c>
      <c r="P624" s="45">
        <f t="shared" ca="1" si="439"/>
        <v>0</v>
      </c>
      <c r="Q624" s="45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4" s="45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4" s="45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4" s="45">
        <f t="shared" ca="1" si="441"/>
        <v>0</v>
      </c>
      <c r="U624" s="45">
        <f t="shared" ca="1" si="442"/>
        <v>0</v>
      </c>
    </row>
    <row r="625" spans="1:21" ht="18.75" x14ac:dyDescent="0.25">
      <c r="A625" s="126"/>
      <c r="B625" s="156"/>
      <c r="C625" s="156"/>
      <c r="D625" s="156"/>
      <c r="E625" s="44" t="s">
        <v>21</v>
      </c>
      <c r="F625" s="37"/>
      <c r="G625" s="39"/>
      <c r="H625" s="135" t="s">
        <v>14</v>
      </c>
      <c r="I625" s="133"/>
      <c r="J625" s="133"/>
      <c r="K625" s="134"/>
      <c r="L625" s="43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5" s="43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5" s="43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5" s="43">
        <f t="shared" ca="1" si="438"/>
        <v>0</v>
      </c>
      <c r="P625" s="43">
        <f t="shared" ca="1" si="439"/>
        <v>0</v>
      </c>
      <c r="Q625" s="43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5" s="43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5" s="43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5" s="43">
        <f t="shared" ca="1" si="441"/>
        <v>0</v>
      </c>
      <c r="U625" s="43">
        <f t="shared" ca="1" si="442"/>
        <v>0</v>
      </c>
    </row>
    <row r="626" spans="1:21" ht="19.5" x14ac:dyDescent="0.3">
      <c r="A626" s="136"/>
      <c r="B626" s="137"/>
      <c r="C626" s="178" t="s">
        <v>18</v>
      </c>
      <c r="D626" s="421" t="s">
        <v>38</v>
      </c>
      <c r="E626" s="139"/>
      <c r="F626" s="139"/>
      <c r="G626" s="140"/>
      <c r="H626" s="179"/>
      <c r="I626" s="133"/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43"/>
      <c r="F627" s="143"/>
      <c r="G627" s="141"/>
      <c r="H627" s="423" t="s">
        <v>46</v>
      </c>
      <c r="I627" s="145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7" s="145">
        <f ca="1">J633</f>
        <v>0</v>
      </c>
      <c r="K627" s="130">
        <f ca="1">IF(I627&gt;0,J627*100/I627,0)</f>
        <v>0</v>
      </c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43"/>
      <c r="G628" s="141"/>
      <c r="H628" s="135" t="s">
        <v>61</v>
      </c>
      <c r="I628" s="165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8" s="166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0)</f>
        <v>0</v>
      </c>
      <c r="K628" s="43">
        <f t="shared" ref="K628:K629" ca="1" si="451">IF(I628&gt;0,(J628*100)/I628,0)</f>
        <v>0</v>
      </c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43"/>
      <c r="G629" s="141"/>
      <c r="H629" s="135" t="s">
        <v>61</v>
      </c>
      <c r="I629" s="165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9" s="166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0)</f>
        <v>0</v>
      </c>
      <c r="K629" s="43">
        <f t="shared" ca="1" si="451"/>
        <v>0</v>
      </c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43"/>
      <c r="G630" s="141"/>
      <c r="H630" s="135" t="s">
        <v>46</v>
      </c>
      <c r="I630" s="41"/>
      <c r="J630" s="166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0)</f>
        <v>0</v>
      </c>
      <c r="K630" s="43">
        <f t="shared" ref="K630:K632" ca="1" si="452">IF(I$627&gt;0,J630*100/I$627,0)</f>
        <v>0</v>
      </c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43"/>
      <c r="G631" s="141"/>
      <c r="H631" s="135" t="s">
        <v>46</v>
      </c>
      <c r="I631" s="41"/>
      <c r="J631" s="166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1" s="43">
        <f t="shared" ca="1" si="452"/>
        <v>0</v>
      </c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43"/>
      <c r="G632" s="141"/>
      <c r="H632" s="135" t="s">
        <v>46</v>
      </c>
      <c r="I632" s="41"/>
      <c r="J632" s="166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2" s="43">
        <f t="shared" ca="1" si="452"/>
        <v>0</v>
      </c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43"/>
      <c r="G633" s="141"/>
      <c r="H633" s="135" t="s">
        <v>46</v>
      </c>
      <c r="I633" s="41"/>
      <c r="J633" s="145">
        <f ca="1">J634+J635</f>
        <v>0</v>
      </c>
      <c r="K633" s="130">
        <f ca="1">IF(I627&gt;0,J633*100/I627,0)</f>
        <v>0</v>
      </c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43"/>
      <c r="F634" s="164" t="s">
        <v>230</v>
      </c>
      <c r="G634" s="141"/>
      <c r="H634" s="135" t="s">
        <v>46</v>
      </c>
      <c r="I634" s="41"/>
      <c r="J634" s="166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4" s="42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43"/>
      <c r="F635" s="164" t="s">
        <v>231</v>
      </c>
      <c r="G635" s="141"/>
      <c r="H635" s="135" t="s">
        <v>46</v>
      </c>
      <c r="I635" s="41"/>
      <c r="J635" s="166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5" s="42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43"/>
      <c r="F636" s="143"/>
      <c r="G636" s="141"/>
      <c r="H636" s="135" t="s">
        <v>46</v>
      </c>
      <c r="I636" s="145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6" s="145">
        <f ca="1">J637</f>
        <v>0</v>
      </c>
      <c r="K636" s="130">
        <f ca="1">IF(I636&gt;0,J636*100/I636,0)</f>
        <v>0</v>
      </c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43"/>
      <c r="G637" s="141"/>
      <c r="H637" s="135" t="s">
        <v>46</v>
      </c>
      <c r="I637" s="41"/>
      <c r="J637" s="165">
        <f ca="1">J638+J639</f>
        <v>0</v>
      </c>
      <c r="K637" s="42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43"/>
      <c r="F638" s="164" t="s">
        <v>230</v>
      </c>
      <c r="G638" s="141"/>
      <c r="H638" s="135" t="s">
        <v>46</v>
      </c>
      <c r="I638" s="41"/>
      <c r="J638" s="166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8" s="42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43"/>
      <c r="F639" s="164" t="s">
        <v>231</v>
      </c>
      <c r="G639" s="141"/>
      <c r="H639" s="135" t="s">
        <v>46</v>
      </c>
      <c r="I639" s="41"/>
      <c r="J639" s="166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9" s="42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43"/>
      <c r="G640" s="141"/>
      <c r="H640" s="135" t="s">
        <v>46</v>
      </c>
      <c r="I640" s="41"/>
      <c r="J640" s="166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40" s="42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43"/>
      <c r="F641" s="164" t="s">
        <v>235</v>
      </c>
      <c r="G641" s="141"/>
      <c r="H641" s="135" t="s">
        <v>46</v>
      </c>
      <c r="I641" s="41"/>
      <c r="J641" s="166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1" s="42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420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14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130">
        <f t="shared" ref="L643:N643" ca="1" si="453">L644+L645</f>
        <v>0</v>
      </c>
      <c r="M643" s="130">
        <f t="shared" ca="1" si="453"/>
        <v>0</v>
      </c>
      <c r="N643" s="130">
        <f t="shared" ca="1" si="453"/>
        <v>0</v>
      </c>
      <c r="O643" s="130">
        <f t="shared" ref="O643:O651" ca="1" si="454">IF(L643&gt;0,N643*100/L643,0)</f>
        <v>0</v>
      </c>
      <c r="P643" s="130">
        <f t="shared" ref="P643:P651" ca="1" si="455">IF(M643&gt;0,N643*100/M643,0)</f>
        <v>0</v>
      </c>
      <c r="Q643" s="130">
        <f t="shared" ref="Q643:S643" ca="1" si="456">Q644+Q645</f>
        <v>389440</v>
      </c>
      <c r="R643" s="130">
        <f t="shared" ca="1" si="456"/>
        <v>389440</v>
      </c>
      <c r="S643" s="130">
        <f t="shared" ca="1" si="456"/>
        <v>2680</v>
      </c>
      <c r="T643" s="130">
        <f t="shared" ref="T643:T651" ca="1" si="457">IF(Q643&gt;0,S643*100/Q643,0)</f>
        <v>0.6881676253081348</v>
      </c>
      <c r="U643" s="130">
        <f t="shared" ref="U643:U651" ca="1" si="458">IF(R643&gt;0,S643*100/R643,0)</f>
        <v>0.6881676253081348</v>
      </c>
    </row>
    <row r="644" spans="1:21" ht="18.75" x14ac:dyDescent="0.25">
      <c r="A644" s="126"/>
      <c r="B644" s="156"/>
      <c r="C644" s="156"/>
      <c r="D644" s="143"/>
      <c r="E644" s="154" t="s">
        <v>158</v>
      </c>
      <c r="F644" s="37"/>
      <c r="G644" s="39"/>
      <c r="H644" s="157" t="s">
        <v>14</v>
      </c>
      <c r="I644" s="41"/>
      <c r="J644" s="41"/>
      <c r="K644" s="42"/>
      <c r="L644" s="45">
        <f t="shared" ref="L644:N644" ca="1" si="459">L647+L650</f>
        <v>0</v>
      </c>
      <c r="M644" s="45">
        <f t="shared" ca="1" si="459"/>
        <v>0</v>
      </c>
      <c r="N644" s="45">
        <f t="shared" ca="1" si="459"/>
        <v>0</v>
      </c>
      <c r="O644" s="45">
        <f t="shared" ca="1" si="454"/>
        <v>0</v>
      </c>
      <c r="P644" s="45">
        <f t="shared" ca="1" si="455"/>
        <v>0</v>
      </c>
      <c r="Q644" s="45">
        <f t="shared" ref="Q644:S644" ca="1" si="460">Q647+Q650</f>
        <v>0</v>
      </c>
      <c r="R644" s="45">
        <f t="shared" ca="1" si="460"/>
        <v>0</v>
      </c>
      <c r="S644" s="45">
        <f t="shared" ca="1" si="460"/>
        <v>0</v>
      </c>
      <c r="T644" s="45">
        <f t="shared" ca="1" si="457"/>
        <v>0</v>
      </c>
      <c r="U644" s="45">
        <f t="shared" ca="1" si="458"/>
        <v>0</v>
      </c>
    </row>
    <row r="645" spans="1:21" ht="18.75" x14ac:dyDescent="0.25">
      <c r="A645" s="126"/>
      <c r="B645" s="156"/>
      <c r="C645" s="156"/>
      <c r="D645" s="143"/>
      <c r="E645" s="44" t="s">
        <v>159</v>
      </c>
      <c r="F645" s="37"/>
      <c r="G645" s="39"/>
      <c r="H645" s="132" t="s">
        <v>14</v>
      </c>
      <c r="I645" s="41"/>
      <c r="J645" s="41"/>
      <c r="K645" s="42"/>
      <c r="L645" s="43">
        <f t="shared" ref="L645:N645" ca="1" si="461">L648+L651</f>
        <v>0</v>
      </c>
      <c r="M645" s="43">
        <f t="shared" ca="1" si="461"/>
        <v>0</v>
      </c>
      <c r="N645" s="43">
        <f t="shared" ca="1" si="461"/>
        <v>0</v>
      </c>
      <c r="O645" s="43">
        <f t="shared" ca="1" si="454"/>
        <v>0</v>
      </c>
      <c r="P645" s="43">
        <f t="shared" ca="1" si="455"/>
        <v>0</v>
      </c>
      <c r="Q645" s="43">
        <f t="shared" ref="Q645:S645" ca="1" si="462">Q648+Q651</f>
        <v>389440</v>
      </c>
      <c r="R645" s="43">
        <f t="shared" ca="1" si="462"/>
        <v>389440</v>
      </c>
      <c r="S645" s="43">
        <f t="shared" ca="1" si="462"/>
        <v>2680</v>
      </c>
      <c r="T645" s="43">
        <f t="shared" ca="1" si="457"/>
        <v>0.6881676253081348</v>
      </c>
      <c r="U645" s="43">
        <f t="shared" ca="1" si="458"/>
        <v>0.6881676253081348</v>
      </c>
    </row>
    <row r="646" spans="1:21" ht="18.75" x14ac:dyDescent="0.25">
      <c r="A646" s="126"/>
      <c r="B646" s="156"/>
      <c r="C646" s="156"/>
      <c r="D646" s="38" t="s">
        <v>22</v>
      </c>
      <c r="E646" s="37"/>
      <c r="F646" s="37"/>
      <c r="G646" s="39"/>
      <c r="H646" s="132" t="s">
        <v>14</v>
      </c>
      <c r="I646" s="133"/>
      <c r="J646" s="133"/>
      <c r="K646" s="134"/>
      <c r="L646" s="43">
        <f t="shared" ref="L646:N646" ca="1" si="463">L647+L648</f>
        <v>0</v>
      </c>
      <c r="M646" s="43">
        <f t="shared" ca="1" si="463"/>
        <v>0</v>
      </c>
      <c r="N646" s="43">
        <f t="shared" ca="1" si="463"/>
        <v>0</v>
      </c>
      <c r="O646" s="43">
        <f t="shared" ca="1" si="454"/>
        <v>0</v>
      </c>
      <c r="P646" s="43">
        <f t="shared" ca="1" si="455"/>
        <v>0</v>
      </c>
      <c r="Q646" s="43">
        <f t="shared" ref="Q646:S646" ca="1" si="464">Q647+Q648</f>
        <v>389440</v>
      </c>
      <c r="R646" s="43">
        <f t="shared" ca="1" si="464"/>
        <v>389440</v>
      </c>
      <c r="S646" s="43">
        <f t="shared" ca="1" si="464"/>
        <v>2680</v>
      </c>
      <c r="T646" s="43">
        <f t="shared" ca="1" si="457"/>
        <v>0.6881676253081348</v>
      </c>
      <c r="U646" s="43">
        <f t="shared" ca="1" si="458"/>
        <v>0.6881676253081348</v>
      </c>
    </row>
    <row r="647" spans="1:21" ht="18.75" x14ac:dyDescent="0.25">
      <c r="A647" s="126"/>
      <c r="B647" s="156"/>
      <c r="C647" s="156"/>
      <c r="D647" s="143"/>
      <c r="E647" s="154" t="s">
        <v>158</v>
      </c>
      <c r="F647" s="37"/>
      <c r="G647" s="39"/>
      <c r="H647" s="157" t="s">
        <v>14</v>
      </c>
      <c r="I647" s="41"/>
      <c r="J647" s="41"/>
      <c r="K647" s="42"/>
      <c r="L647" s="45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7" s="45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7" s="45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7" s="45">
        <f t="shared" ca="1" si="454"/>
        <v>0</v>
      </c>
      <c r="P647" s="45">
        <f t="shared" ca="1" si="455"/>
        <v>0</v>
      </c>
      <c r="Q647" s="45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7" s="45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7" s="45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7" s="45">
        <f t="shared" ca="1" si="457"/>
        <v>0</v>
      </c>
      <c r="U647" s="45">
        <f t="shared" ca="1" si="458"/>
        <v>0</v>
      </c>
    </row>
    <row r="648" spans="1:21" ht="18.75" x14ac:dyDescent="0.25">
      <c r="A648" s="126"/>
      <c r="B648" s="156"/>
      <c r="C648" s="156"/>
      <c r="D648" s="143"/>
      <c r="E648" s="44" t="s">
        <v>159</v>
      </c>
      <c r="F648" s="37"/>
      <c r="G648" s="39"/>
      <c r="H648" s="132" t="s">
        <v>14</v>
      </c>
      <c r="I648" s="41"/>
      <c r="J648" s="41"/>
      <c r="K648" s="42"/>
      <c r="L648" s="43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8" s="43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8" s="43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8" s="43">
        <f t="shared" ca="1" si="454"/>
        <v>0</v>
      </c>
      <c r="P648" s="43">
        <f t="shared" ca="1" si="455"/>
        <v>0</v>
      </c>
      <c r="Q648" s="43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8" s="43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8" s="43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2680)</f>
        <v>2680</v>
      </c>
      <c r="T648" s="43">
        <f t="shared" ca="1" si="457"/>
        <v>0.6881676253081348</v>
      </c>
      <c r="U648" s="43">
        <f t="shared" ca="1" si="458"/>
        <v>0.6881676253081348</v>
      </c>
    </row>
    <row r="649" spans="1:21" ht="18.75" x14ac:dyDescent="0.25">
      <c r="A649" s="126"/>
      <c r="B649" s="156"/>
      <c r="C649" s="156"/>
      <c r="D649" s="38" t="s">
        <v>23</v>
      </c>
      <c r="E649" s="37"/>
      <c r="F649" s="37"/>
      <c r="G649" s="39"/>
      <c r="H649" s="135" t="s">
        <v>14</v>
      </c>
      <c r="I649" s="133"/>
      <c r="J649" s="133"/>
      <c r="K649" s="134"/>
      <c r="L649" s="43">
        <f t="shared" ref="L649:N649" ca="1" si="465">L650+L651</f>
        <v>0</v>
      </c>
      <c r="M649" s="43">
        <f t="shared" ca="1" si="465"/>
        <v>0</v>
      </c>
      <c r="N649" s="43">
        <f t="shared" ca="1" si="465"/>
        <v>0</v>
      </c>
      <c r="O649" s="43">
        <f t="shared" ca="1" si="454"/>
        <v>0</v>
      </c>
      <c r="P649" s="43">
        <f t="shared" ca="1" si="455"/>
        <v>0</v>
      </c>
      <c r="Q649" s="43">
        <f t="shared" ref="Q649:S649" ca="1" si="466">Q650+Q651</f>
        <v>0</v>
      </c>
      <c r="R649" s="43">
        <f t="shared" ca="1" si="466"/>
        <v>0</v>
      </c>
      <c r="S649" s="43">
        <f t="shared" ca="1" si="466"/>
        <v>0</v>
      </c>
      <c r="T649" s="43">
        <f t="shared" ca="1" si="457"/>
        <v>0</v>
      </c>
      <c r="U649" s="43">
        <f t="shared" ca="1" si="458"/>
        <v>0</v>
      </c>
    </row>
    <row r="650" spans="1:21" ht="18.75" x14ac:dyDescent="0.25">
      <c r="A650" s="126"/>
      <c r="B650" s="156"/>
      <c r="C650" s="156"/>
      <c r="D650" s="37"/>
      <c r="E650" s="154" t="s">
        <v>20</v>
      </c>
      <c r="F650" s="37"/>
      <c r="G650" s="39"/>
      <c r="H650" s="157" t="s">
        <v>14</v>
      </c>
      <c r="I650" s="133"/>
      <c r="J650" s="133"/>
      <c r="K650" s="134"/>
      <c r="L650" s="45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50" s="45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50" s="45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50" s="45">
        <f t="shared" ca="1" si="454"/>
        <v>0</v>
      </c>
      <c r="P650" s="45">
        <f t="shared" ca="1" si="455"/>
        <v>0</v>
      </c>
      <c r="Q650" s="45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50" s="45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50" s="45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50" s="45">
        <f t="shared" ca="1" si="457"/>
        <v>0</v>
      </c>
      <c r="U650" s="45">
        <f t="shared" ca="1" si="458"/>
        <v>0</v>
      </c>
    </row>
    <row r="651" spans="1:21" ht="18.75" x14ac:dyDescent="0.25">
      <c r="A651" s="126"/>
      <c r="B651" s="156"/>
      <c r="C651" s="156"/>
      <c r="D651" s="37"/>
      <c r="E651" s="44" t="s">
        <v>21</v>
      </c>
      <c r="F651" s="37"/>
      <c r="G651" s="39"/>
      <c r="H651" s="135" t="s">
        <v>14</v>
      </c>
      <c r="I651" s="133"/>
      <c r="J651" s="133"/>
      <c r="K651" s="134"/>
      <c r="L651" s="43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1" s="43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1" s="43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1" s="43">
        <f t="shared" ca="1" si="454"/>
        <v>0</v>
      </c>
      <c r="P651" s="43">
        <f t="shared" ca="1" si="455"/>
        <v>0</v>
      </c>
      <c r="Q651" s="43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1" s="43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1" s="43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1" s="43">
        <f t="shared" ca="1" si="457"/>
        <v>0</v>
      </c>
      <c r="U651" s="43">
        <f t="shared" ca="1" si="458"/>
        <v>0</v>
      </c>
    </row>
    <row r="652" spans="1:21" ht="19.5" x14ac:dyDescent="0.3">
      <c r="A652" s="136"/>
      <c r="B652" s="137"/>
      <c r="C652" s="426" t="s">
        <v>18</v>
      </c>
      <c r="D652" s="427" t="s">
        <v>38</v>
      </c>
      <c r="E652" s="139"/>
      <c r="F652" s="139"/>
      <c r="G652" s="140"/>
      <c r="H652" s="179"/>
      <c r="I652" s="133"/>
      <c r="J652" s="133"/>
      <c r="K652" s="134"/>
      <c r="L652" s="134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x14ac:dyDescent="0.25">
      <c r="A653" s="214"/>
      <c r="B653" s="156"/>
      <c r="C653" s="156"/>
      <c r="D653" s="44" t="s">
        <v>237</v>
      </c>
      <c r="E653" s="37"/>
      <c r="F653" s="37"/>
      <c r="G653" s="39"/>
      <c r="H653" s="135" t="s">
        <v>46</v>
      </c>
      <c r="I653" s="428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3" s="428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3" s="43">
        <f t="shared" ref="K653:K655" ca="1" si="467">IF(I653&gt;0,J653*100/I653,0)</f>
        <v>0</v>
      </c>
      <c r="L653" s="42"/>
      <c r="M653" s="42"/>
      <c r="N653" s="429"/>
      <c r="O653" s="42"/>
      <c r="P653" s="42"/>
      <c r="Q653" s="42"/>
      <c r="R653" s="42"/>
      <c r="S653" s="42"/>
      <c r="T653" s="42"/>
      <c r="U653" s="42"/>
    </row>
    <row r="654" spans="1:21" ht="18.75" x14ac:dyDescent="0.25">
      <c r="A654" s="214"/>
      <c r="B654" s="156"/>
      <c r="C654" s="156"/>
      <c r="D654" s="44" t="s">
        <v>238</v>
      </c>
      <c r="E654" s="37"/>
      <c r="F654" s="37"/>
      <c r="G654" s="39"/>
      <c r="H654" s="135" t="s">
        <v>35</v>
      </c>
      <c r="I654" s="428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4" s="428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4" s="43">
        <f t="shared" ca="1" si="467"/>
        <v>0</v>
      </c>
      <c r="L654" s="42"/>
      <c r="M654" s="42"/>
      <c r="N654" s="429"/>
      <c r="O654" s="42"/>
      <c r="P654" s="42"/>
      <c r="Q654" s="42"/>
      <c r="R654" s="42"/>
      <c r="S654" s="42"/>
      <c r="T654" s="42"/>
      <c r="U654" s="42"/>
    </row>
    <row r="655" spans="1:21" ht="19.5" x14ac:dyDescent="0.3">
      <c r="A655" s="214"/>
      <c r="B655" s="156"/>
      <c r="C655" s="156"/>
      <c r="D655" s="44" t="s">
        <v>239</v>
      </c>
      <c r="E655" s="37"/>
      <c r="F655" s="37"/>
      <c r="G655" s="39"/>
      <c r="H655" s="423" t="s">
        <v>46</v>
      </c>
      <c r="I655" s="430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5" s="145">
        <f ca="1">J658+J661</f>
        <v>0</v>
      </c>
      <c r="K655" s="130">
        <f t="shared" ca="1" si="467"/>
        <v>0</v>
      </c>
      <c r="L655" s="42"/>
      <c r="M655" s="42"/>
      <c r="N655" s="429"/>
      <c r="O655" s="42"/>
      <c r="P655" s="42"/>
      <c r="Q655" s="42"/>
      <c r="R655" s="42"/>
      <c r="S655" s="42"/>
      <c r="T655" s="42"/>
      <c r="U655" s="42"/>
    </row>
    <row r="656" spans="1:21" ht="18.75" x14ac:dyDescent="0.25">
      <c r="A656" s="214"/>
      <c r="B656" s="156"/>
      <c r="C656" s="156"/>
      <c r="D656" s="37"/>
      <c r="E656" s="44" t="s">
        <v>240</v>
      </c>
      <c r="F656" s="37"/>
      <c r="G656" s="39"/>
      <c r="H656" s="135" t="s">
        <v>35</v>
      </c>
      <c r="I656" s="181"/>
      <c r="J656" s="166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0)</f>
        <v>0</v>
      </c>
      <c r="K656" s="42"/>
      <c r="L656" s="42"/>
      <c r="M656" s="42"/>
      <c r="N656" s="429"/>
      <c r="O656" s="42"/>
      <c r="P656" s="42"/>
      <c r="Q656" s="42"/>
      <c r="R656" s="42"/>
      <c r="S656" s="42"/>
      <c r="T656" s="42"/>
      <c r="U656" s="42"/>
    </row>
    <row r="657" spans="1:21" ht="18.75" x14ac:dyDescent="0.25">
      <c r="A657" s="214"/>
      <c r="B657" s="156"/>
      <c r="C657" s="156"/>
      <c r="D657" s="37"/>
      <c r="E657" s="37"/>
      <c r="F657" s="37"/>
      <c r="G657" s="39"/>
      <c r="H657" s="135" t="s">
        <v>34</v>
      </c>
      <c r="I657" s="181"/>
      <c r="J657" s="166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0)</f>
        <v>0</v>
      </c>
      <c r="K657" s="42"/>
      <c r="L657" s="42"/>
      <c r="M657" s="42"/>
      <c r="N657" s="429"/>
      <c r="O657" s="42"/>
      <c r="P657" s="42"/>
      <c r="Q657" s="42"/>
      <c r="R657" s="42"/>
      <c r="S657" s="42"/>
      <c r="T657" s="42"/>
      <c r="U657" s="42"/>
    </row>
    <row r="658" spans="1:21" ht="18.75" x14ac:dyDescent="0.25">
      <c r="A658" s="214"/>
      <c r="B658" s="156"/>
      <c r="C658" s="156"/>
      <c r="D658" s="37"/>
      <c r="E658" s="37"/>
      <c r="F658" s="37"/>
      <c r="G658" s="39"/>
      <c r="H658" s="135" t="s">
        <v>46</v>
      </c>
      <c r="I658" s="428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8" s="428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0)</f>
        <v>0</v>
      </c>
      <c r="K658" s="42"/>
      <c r="L658" s="42"/>
      <c r="M658" s="42"/>
      <c r="N658" s="429"/>
      <c r="O658" s="42"/>
      <c r="P658" s="42"/>
      <c r="Q658" s="42"/>
      <c r="R658" s="42"/>
      <c r="S658" s="42"/>
      <c r="T658" s="42"/>
      <c r="U658" s="42"/>
    </row>
    <row r="659" spans="1:21" ht="18.75" x14ac:dyDescent="0.25">
      <c r="A659" s="214"/>
      <c r="B659" s="156"/>
      <c r="C659" s="156"/>
      <c r="D659" s="37"/>
      <c r="E659" s="44" t="s">
        <v>241</v>
      </c>
      <c r="F659" s="37"/>
      <c r="G659" s="39"/>
      <c r="H659" s="135" t="s">
        <v>35</v>
      </c>
      <c r="I659" s="181"/>
      <c r="J659" s="166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0)</f>
        <v>0</v>
      </c>
      <c r="K659" s="42"/>
      <c r="L659" s="42"/>
      <c r="M659" s="42"/>
      <c r="N659" s="429"/>
      <c r="O659" s="42"/>
      <c r="P659" s="42"/>
      <c r="Q659" s="42"/>
      <c r="R659" s="42"/>
      <c r="S659" s="42"/>
      <c r="T659" s="42"/>
      <c r="U659" s="42"/>
    </row>
    <row r="660" spans="1:21" ht="18.75" x14ac:dyDescent="0.25">
      <c r="A660" s="214"/>
      <c r="B660" s="156"/>
      <c r="C660" s="156"/>
      <c r="D660" s="37"/>
      <c r="E660" s="37"/>
      <c r="F660" s="37"/>
      <c r="G660" s="39"/>
      <c r="H660" s="135" t="s">
        <v>34</v>
      </c>
      <c r="I660" s="181"/>
      <c r="J660" s="166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0)</f>
        <v>0</v>
      </c>
      <c r="K660" s="42"/>
      <c r="L660" s="42"/>
      <c r="M660" s="42"/>
      <c r="N660" s="429"/>
      <c r="O660" s="42"/>
      <c r="P660" s="42"/>
      <c r="Q660" s="42"/>
      <c r="R660" s="42"/>
      <c r="S660" s="42"/>
      <c r="T660" s="42"/>
      <c r="U660" s="42"/>
    </row>
    <row r="661" spans="1:21" ht="18.75" x14ac:dyDescent="0.25">
      <c r="A661" s="214"/>
      <c r="B661" s="156"/>
      <c r="C661" s="156"/>
      <c r="D661" s="37"/>
      <c r="E661" s="37"/>
      <c r="F661" s="37"/>
      <c r="G661" s="39"/>
      <c r="H661" s="135" t="s">
        <v>46</v>
      </c>
      <c r="I661" s="428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1" s="431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0)</f>
        <v>0</v>
      </c>
      <c r="K661" s="42"/>
      <c r="L661" s="42"/>
      <c r="M661" s="42"/>
      <c r="N661" s="429"/>
      <c r="O661" s="42"/>
      <c r="P661" s="42"/>
      <c r="Q661" s="42"/>
      <c r="R661" s="42"/>
      <c r="S661" s="42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37"/>
      <c r="F662" s="37"/>
      <c r="G662" s="39"/>
      <c r="H662" s="423" t="s">
        <v>46</v>
      </c>
      <c r="I662" s="430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2" s="145">
        <f ca="1">J668+J671</f>
        <v>0</v>
      </c>
      <c r="K662" s="130">
        <f ca="1">IF(I662&gt;0,J662*100/I662,0)</f>
        <v>0</v>
      </c>
      <c r="L662" s="42"/>
      <c r="M662" s="42"/>
      <c r="N662" s="429"/>
      <c r="O662" s="42"/>
      <c r="P662" s="42"/>
      <c r="Q662" s="42"/>
      <c r="R662" s="42"/>
      <c r="S662" s="42"/>
      <c r="T662" s="42"/>
      <c r="U662" s="42"/>
    </row>
    <row r="663" spans="1:21" ht="18.75" x14ac:dyDescent="0.25">
      <c r="A663" s="214"/>
      <c r="B663" s="156"/>
      <c r="C663" s="156"/>
      <c r="D663" s="37"/>
      <c r="E663" s="44" t="s">
        <v>243</v>
      </c>
      <c r="F663" s="37"/>
      <c r="G663" s="39"/>
      <c r="H663" s="135" t="s">
        <v>34</v>
      </c>
      <c r="I663" s="181"/>
      <c r="J663" s="166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0)</f>
        <v>0</v>
      </c>
      <c r="K663" s="42"/>
      <c r="L663" s="429"/>
      <c r="M663" s="429"/>
      <c r="N663" s="429"/>
      <c r="O663" s="42"/>
      <c r="P663" s="42"/>
      <c r="Q663" s="429"/>
      <c r="R663" s="429"/>
      <c r="S663" s="429"/>
      <c r="T663" s="42"/>
      <c r="U663" s="42"/>
    </row>
    <row r="664" spans="1:21" ht="18.75" x14ac:dyDescent="0.25">
      <c r="A664" s="214"/>
      <c r="B664" s="156"/>
      <c r="C664" s="156"/>
      <c r="D664" s="37"/>
      <c r="E664" s="37"/>
      <c r="F664" s="37"/>
      <c r="G664" s="39"/>
      <c r="H664" s="135" t="s">
        <v>46</v>
      </c>
      <c r="I664" s="181"/>
      <c r="J664" s="166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0)</f>
        <v>0</v>
      </c>
      <c r="K664" s="42"/>
      <c r="L664" s="429"/>
      <c r="M664" s="429"/>
      <c r="N664" s="429"/>
      <c r="O664" s="42"/>
      <c r="P664" s="42"/>
      <c r="Q664" s="429"/>
      <c r="R664" s="429"/>
      <c r="S664" s="429"/>
      <c r="T664" s="42"/>
      <c r="U664" s="42"/>
    </row>
    <row r="665" spans="1:21" ht="18.75" x14ac:dyDescent="0.25">
      <c r="A665" s="214"/>
      <c r="B665" s="156"/>
      <c r="C665" s="156"/>
      <c r="D665" s="37"/>
      <c r="E665" s="44" t="s">
        <v>244</v>
      </c>
      <c r="F665" s="37"/>
      <c r="G665" s="39"/>
      <c r="H665" s="179"/>
      <c r="I665" s="181"/>
      <c r="J665" s="41"/>
      <c r="K665" s="42"/>
      <c r="L665" s="429"/>
      <c r="M665" s="429"/>
      <c r="N665" s="429"/>
      <c r="O665" s="42"/>
      <c r="P665" s="42"/>
      <c r="Q665" s="429"/>
      <c r="R665" s="429"/>
      <c r="S665" s="429"/>
      <c r="T665" s="42"/>
      <c r="U665" s="42"/>
    </row>
    <row r="666" spans="1:21" ht="18.75" x14ac:dyDescent="0.25">
      <c r="A666" s="214"/>
      <c r="B666" s="156"/>
      <c r="C666" s="156"/>
      <c r="D666" s="37"/>
      <c r="E666" s="37"/>
      <c r="F666" s="44" t="s">
        <v>245</v>
      </c>
      <c r="G666" s="39"/>
      <c r="H666" s="135" t="s">
        <v>35</v>
      </c>
      <c r="I666" s="181"/>
      <c r="J666" s="166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0)</f>
        <v>0</v>
      </c>
      <c r="K666" s="42"/>
      <c r="L666" s="429"/>
      <c r="M666" s="429"/>
      <c r="N666" s="429"/>
      <c r="O666" s="42"/>
      <c r="P666" s="42"/>
      <c r="Q666" s="429"/>
      <c r="R666" s="429"/>
      <c r="S666" s="429"/>
      <c r="T666" s="42"/>
      <c r="U666" s="42"/>
    </row>
    <row r="667" spans="1:21" ht="18.75" x14ac:dyDescent="0.25">
      <c r="A667" s="214"/>
      <c r="B667" s="156"/>
      <c r="C667" s="156"/>
      <c r="D667" s="37"/>
      <c r="E667" s="37"/>
      <c r="F667" s="37"/>
      <c r="G667" s="39"/>
      <c r="H667" s="135" t="s">
        <v>34</v>
      </c>
      <c r="I667" s="181"/>
      <c r="J667" s="166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0)</f>
        <v>0</v>
      </c>
      <c r="K667" s="42"/>
      <c r="L667" s="429"/>
      <c r="M667" s="429"/>
      <c r="N667" s="429"/>
      <c r="O667" s="42"/>
      <c r="P667" s="42"/>
      <c r="Q667" s="429"/>
      <c r="R667" s="429"/>
      <c r="S667" s="429"/>
      <c r="T667" s="42"/>
      <c r="U667" s="42"/>
    </row>
    <row r="668" spans="1:21" ht="18.75" x14ac:dyDescent="0.25">
      <c r="A668" s="214"/>
      <c r="B668" s="156"/>
      <c r="C668" s="156"/>
      <c r="D668" s="37"/>
      <c r="E668" s="37"/>
      <c r="F668" s="37"/>
      <c r="G668" s="39"/>
      <c r="H668" s="135" t="s">
        <v>46</v>
      </c>
      <c r="I668" s="181"/>
      <c r="J668" s="166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0)</f>
        <v>0</v>
      </c>
      <c r="K668" s="42"/>
      <c r="L668" s="429"/>
      <c r="M668" s="429"/>
      <c r="N668" s="429"/>
      <c r="O668" s="42"/>
      <c r="P668" s="42"/>
      <c r="Q668" s="429"/>
      <c r="R668" s="429"/>
      <c r="S668" s="429"/>
      <c r="T668" s="42"/>
      <c r="U668" s="42"/>
    </row>
    <row r="669" spans="1:21" ht="18.75" x14ac:dyDescent="0.25">
      <c r="A669" s="214"/>
      <c r="B669" s="156"/>
      <c r="C669" s="156"/>
      <c r="D669" s="37"/>
      <c r="E669" s="37"/>
      <c r="F669" s="44" t="s">
        <v>246</v>
      </c>
      <c r="G669" s="39"/>
      <c r="H669" s="135" t="s">
        <v>35</v>
      </c>
      <c r="I669" s="181"/>
      <c r="J669" s="166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9" s="42"/>
      <c r="L669" s="429"/>
      <c r="M669" s="429"/>
      <c r="N669" s="429"/>
      <c r="O669" s="42"/>
      <c r="P669" s="42"/>
      <c r="Q669" s="429"/>
      <c r="R669" s="429"/>
      <c r="S669" s="429"/>
      <c r="T669" s="42"/>
      <c r="U669" s="42"/>
    </row>
    <row r="670" spans="1:21" ht="18.75" x14ac:dyDescent="0.25">
      <c r="A670" s="214"/>
      <c r="B670" s="156"/>
      <c r="C670" s="156"/>
      <c r="D670" s="37"/>
      <c r="E670" s="37"/>
      <c r="F670" s="37"/>
      <c r="G670" s="39"/>
      <c r="H670" s="135" t="s">
        <v>34</v>
      </c>
      <c r="I670" s="181"/>
      <c r="J670" s="166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70" s="42"/>
      <c r="L670" s="429"/>
      <c r="M670" s="429"/>
      <c r="N670" s="429"/>
      <c r="O670" s="42"/>
      <c r="P670" s="42"/>
      <c r="Q670" s="429"/>
      <c r="R670" s="429"/>
      <c r="S670" s="429"/>
      <c r="T670" s="42"/>
      <c r="U670" s="42"/>
    </row>
    <row r="671" spans="1:21" ht="18.75" x14ac:dyDescent="0.25">
      <c r="A671" s="214"/>
      <c r="B671" s="156"/>
      <c r="C671" s="156"/>
      <c r="D671" s="37"/>
      <c r="E671" s="37"/>
      <c r="F671" s="37"/>
      <c r="G671" s="39"/>
      <c r="H671" s="135" t="s">
        <v>46</v>
      </c>
      <c r="I671" s="181"/>
      <c r="J671" s="166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1" s="42"/>
      <c r="L671" s="429"/>
      <c r="M671" s="429"/>
      <c r="N671" s="429"/>
      <c r="O671" s="42"/>
      <c r="P671" s="42"/>
      <c r="Q671" s="429"/>
      <c r="R671" s="429"/>
      <c r="S671" s="429"/>
      <c r="T671" s="42"/>
      <c r="U671" s="42"/>
    </row>
    <row r="672" spans="1:21" ht="18.75" x14ac:dyDescent="0.25">
      <c r="A672" s="214"/>
      <c r="B672" s="156"/>
      <c r="C672" s="156"/>
      <c r="D672" s="44" t="s">
        <v>247</v>
      </c>
      <c r="E672" s="37"/>
      <c r="F672" s="37"/>
      <c r="G672" s="39"/>
      <c r="H672" s="135" t="s">
        <v>35</v>
      </c>
      <c r="I672" s="181"/>
      <c r="J672" s="165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0)</f>
        <v>0</v>
      </c>
      <c r="K672" s="42"/>
      <c r="L672" s="42"/>
      <c r="M672" s="42"/>
      <c r="N672" s="429"/>
      <c r="O672" s="42"/>
      <c r="P672" s="42"/>
      <c r="Q672" s="42"/>
      <c r="R672" s="42"/>
      <c r="S672" s="42"/>
      <c r="T672" s="42"/>
      <c r="U672" s="42"/>
    </row>
    <row r="673" spans="1:21" ht="18.75" x14ac:dyDescent="0.25">
      <c r="A673" s="214"/>
      <c r="B673" s="156"/>
      <c r="C673" s="156"/>
      <c r="D673" s="37"/>
      <c r="E673" s="37"/>
      <c r="F673" s="37"/>
      <c r="G673" s="39"/>
      <c r="H673" s="135" t="s">
        <v>34</v>
      </c>
      <c r="I673" s="181"/>
      <c r="J673" s="165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0)</f>
        <v>0</v>
      </c>
      <c r="K673" s="42"/>
      <c r="L673" s="429"/>
      <c r="M673" s="429"/>
      <c r="N673" s="429"/>
      <c r="O673" s="42"/>
      <c r="P673" s="42"/>
      <c r="Q673" s="429"/>
      <c r="R673" s="429"/>
      <c r="S673" s="429"/>
      <c r="T673" s="42"/>
      <c r="U673" s="42"/>
    </row>
    <row r="674" spans="1:21" ht="18.75" x14ac:dyDescent="0.25">
      <c r="A674" s="214"/>
      <c r="B674" s="156"/>
      <c r="C674" s="156"/>
      <c r="D674" s="37"/>
      <c r="E674" s="37"/>
      <c r="F674" s="37"/>
      <c r="G674" s="39"/>
      <c r="H674" s="135" t="s">
        <v>46</v>
      </c>
      <c r="I674" s="428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4" s="428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0)</f>
        <v>0</v>
      </c>
      <c r="K674" s="43">
        <f t="shared" ref="K674:K677" ca="1" si="468">IF(I674&gt;0,J674*100/I674,0)</f>
        <v>0</v>
      </c>
      <c r="L674" s="429"/>
      <c r="M674" s="429"/>
      <c r="N674" s="429"/>
      <c r="O674" s="42"/>
      <c r="P674" s="42"/>
      <c r="Q674" s="429"/>
      <c r="R674" s="429"/>
      <c r="S674" s="429"/>
      <c r="T674" s="42"/>
      <c r="U674" s="42"/>
    </row>
    <row r="675" spans="1:21" ht="19.5" x14ac:dyDescent="0.3">
      <c r="A675" s="214"/>
      <c r="B675" s="156"/>
      <c r="C675" s="156"/>
      <c r="D675" s="44" t="s">
        <v>248</v>
      </c>
      <c r="E675" s="37"/>
      <c r="F675" s="37"/>
      <c r="G675" s="39"/>
      <c r="H675" s="423" t="s">
        <v>35</v>
      </c>
      <c r="I675" s="430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5" s="145">
        <f ca="1">J677+J680</f>
        <v>4</v>
      </c>
      <c r="K675" s="130">
        <f t="shared" ca="1" si="468"/>
        <v>4.0816326530612246</v>
      </c>
      <c r="L675" s="429"/>
      <c r="M675" s="429"/>
      <c r="N675" s="429"/>
      <c r="O675" s="42"/>
      <c r="P675" s="42"/>
      <c r="Q675" s="429"/>
      <c r="R675" s="429"/>
      <c r="S675" s="429"/>
      <c r="T675" s="42"/>
      <c r="U675" s="42"/>
    </row>
    <row r="676" spans="1:21" ht="19.5" x14ac:dyDescent="0.3">
      <c r="A676" s="214"/>
      <c r="B676" s="156"/>
      <c r="C676" s="156"/>
      <c r="D676" s="37"/>
      <c r="E676" s="37"/>
      <c r="F676" s="37"/>
      <c r="G676" s="39"/>
      <c r="H676" s="423" t="s">
        <v>46</v>
      </c>
      <c r="I676" s="430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6" s="145">
        <f ca="1">J679+J682</f>
        <v>76.23</v>
      </c>
      <c r="K676" s="130">
        <f t="shared" ca="1" si="468"/>
        <v>4.6795580110497239</v>
      </c>
      <c r="L676" s="42"/>
      <c r="M676" s="42"/>
      <c r="N676" s="429"/>
      <c r="O676" s="42"/>
      <c r="P676" s="42"/>
      <c r="Q676" s="42"/>
      <c r="R676" s="42"/>
      <c r="S676" s="42"/>
      <c r="T676" s="42"/>
      <c r="U676" s="42"/>
    </row>
    <row r="677" spans="1:21" ht="18.75" x14ac:dyDescent="0.25">
      <c r="A677" s="214"/>
      <c r="B677" s="156"/>
      <c r="C677" s="156"/>
      <c r="D677" s="37"/>
      <c r="E677" s="44" t="s">
        <v>249</v>
      </c>
      <c r="F677" s="37"/>
      <c r="G677" s="39"/>
      <c r="H677" s="135" t="s">
        <v>35</v>
      </c>
      <c r="I677" s="428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7" s="428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4)</f>
        <v>4</v>
      </c>
      <c r="K677" s="43">
        <f t="shared" ca="1" si="468"/>
        <v>4.6511627906976747</v>
      </c>
      <c r="L677" s="42"/>
      <c r="M677" s="42"/>
      <c r="N677" s="429"/>
      <c r="O677" s="42"/>
      <c r="P677" s="42"/>
      <c r="Q677" s="42"/>
      <c r="R677" s="42"/>
      <c r="S677" s="42"/>
      <c r="T677" s="42"/>
      <c r="U677" s="42"/>
    </row>
    <row r="678" spans="1:21" ht="18.75" x14ac:dyDescent="0.25">
      <c r="A678" s="214"/>
      <c r="B678" s="156"/>
      <c r="C678" s="156"/>
      <c r="D678" s="37"/>
      <c r="E678" s="37"/>
      <c r="F678" s="37"/>
      <c r="G678" s="39"/>
      <c r="H678" s="135" t="s">
        <v>34</v>
      </c>
      <c r="I678" s="181"/>
      <c r="J678" s="165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4)</f>
        <v>4</v>
      </c>
      <c r="K678" s="42"/>
      <c r="L678" s="429"/>
      <c r="M678" s="429"/>
      <c r="N678" s="429"/>
      <c r="O678" s="42"/>
      <c r="P678" s="42"/>
      <c r="Q678" s="429"/>
      <c r="R678" s="429"/>
      <c r="S678" s="429"/>
      <c r="T678" s="42"/>
      <c r="U678" s="42"/>
    </row>
    <row r="679" spans="1:21" ht="18.75" x14ac:dyDescent="0.25">
      <c r="A679" s="214"/>
      <c r="B679" s="156"/>
      <c r="C679" s="156"/>
      <c r="D679" s="37"/>
      <c r="E679" s="37"/>
      <c r="F679" s="37"/>
      <c r="G679" s="39"/>
      <c r="H679" s="135" t="s">
        <v>46</v>
      </c>
      <c r="I679" s="428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9" s="428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76.23)</f>
        <v>76.23</v>
      </c>
      <c r="K679" s="43">
        <f t="shared" ref="K679:K680" ca="1" si="469">IF(I679&gt;0,J679*100/I679,0)</f>
        <v>5.0516898608349905</v>
      </c>
      <c r="L679" s="429"/>
      <c r="M679" s="429"/>
      <c r="N679" s="429"/>
      <c r="O679" s="42"/>
      <c r="P679" s="42"/>
      <c r="Q679" s="429"/>
      <c r="R679" s="429"/>
      <c r="S679" s="429"/>
      <c r="T679" s="42"/>
      <c r="U679" s="42"/>
    </row>
    <row r="680" spans="1:21" ht="18.75" x14ac:dyDescent="0.25">
      <c r="A680" s="214"/>
      <c r="B680" s="156"/>
      <c r="C680" s="156"/>
      <c r="D680" s="37"/>
      <c r="E680" s="44" t="s">
        <v>250</v>
      </c>
      <c r="F680" s="37"/>
      <c r="G680" s="39"/>
      <c r="H680" s="135" t="s">
        <v>35</v>
      </c>
      <c r="I680" s="428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80" s="428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80" s="43">
        <f t="shared" ca="1" si="469"/>
        <v>0</v>
      </c>
      <c r="L680" s="42"/>
      <c r="M680" s="42"/>
      <c r="N680" s="429"/>
      <c r="O680" s="42"/>
      <c r="P680" s="42"/>
      <c r="Q680" s="42"/>
      <c r="R680" s="42"/>
      <c r="S680" s="42"/>
      <c r="T680" s="42"/>
      <c r="U680" s="42"/>
    </row>
    <row r="681" spans="1:21" ht="18.75" x14ac:dyDescent="0.25">
      <c r="A681" s="214"/>
      <c r="B681" s="156"/>
      <c r="C681" s="156"/>
      <c r="D681" s="37"/>
      <c r="E681" s="37"/>
      <c r="F681" s="37"/>
      <c r="G681" s="39"/>
      <c r="H681" s="135" t="s">
        <v>34</v>
      </c>
      <c r="I681" s="181"/>
      <c r="J681" s="165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1" s="42"/>
      <c r="L681" s="429"/>
      <c r="M681" s="429"/>
      <c r="N681" s="429"/>
      <c r="O681" s="42"/>
      <c r="P681" s="42"/>
      <c r="Q681" s="429"/>
      <c r="R681" s="429"/>
      <c r="S681" s="429"/>
      <c r="T681" s="42"/>
      <c r="U681" s="42"/>
    </row>
    <row r="682" spans="1:21" ht="18.75" x14ac:dyDescent="0.25">
      <c r="A682" s="214"/>
      <c r="B682" s="156"/>
      <c r="C682" s="156"/>
      <c r="D682" s="37"/>
      <c r="E682" s="37"/>
      <c r="F682" s="37"/>
      <c r="G682" s="39"/>
      <c r="H682" s="135" t="s">
        <v>46</v>
      </c>
      <c r="I682" s="428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2" s="428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2" s="43">
        <f t="shared" ref="K682:K683" ca="1" si="470">IF(I682&gt;0,J682*100/I682,0)</f>
        <v>0</v>
      </c>
      <c r="L682" s="429"/>
      <c r="M682" s="429"/>
      <c r="N682" s="429"/>
      <c r="O682" s="42"/>
      <c r="P682" s="42"/>
      <c r="Q682" s="429"/>
      <c r="R682" s="429"/>
      <c r="S682" s="429"/>
      <c r="T682" s="42"/>
      <c r="U682" s="42"/>
    </row>
    <row r="683" spans="1:21" ht="19.5" x14ac:dyDescent="0.3">
      <c r="A683" s="214"/>
      <c r="B683" s="156"/>
      <c r="C683" s="156"/>
      <c r="D683" s="44" t="s">
        <v>251</v>
      </c>
      <c r="E683" s="37"/>
      <c r="F683" s="37"/>
      <c r="G683" s="39"/>
      <c r="H683" s="423" t="s">
        <v>46</v>
      </c>
      <c r="I683" s="430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3" s="145">
        <f ca="1">J686+J689</f>
        <v>0</v>
      </c>
      <c r="K683" s="130">
        <f t="shared" ca="1" si="470"/>
        <v>0</v>
      </c>
      <c r="L683" s="42"/>
      <c r="M683" s="42"/>
      <c r="N683" s="429"/>
      <c r="O683" s="42"/>
      <c r="P683" s="42"/>
      <c r="Q683" s="42"/>
      <c r="R683" s="42"/>
      <c r="S683" s="42"/>
      <c r="T683" s="42"/>
      <c r="U683" s="42"/>
    </row>
    <row r="684" spans="1:21" ht="18.75" x14ac:dyDescent="0.25">
      <c r="A684" s="214"/>
      <c r="B684" s="156"/>
      <c r="C684" s="156"/>
      <c r="D684" s="37"/>
      <c r="E684" s="44" t="s">
        <v>252</v>
      </c>
      <c r="F684" s="37"/>
      <c r="G684" s="39"/>
      <c r="H684" s="135" t="s">
        <v>35</v>
      </c>
      <c r="I684" s="181"/>
      <c r="J684" s="166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0)</f>
        <v>0</v>
      </c>
      <c r="K684" s="42"/>
      <c r="L684" s="429"/>
      <c r="M684" s="429"/>
      <c r="N684" s="429"/>
      <c r="O684" s="42"/>
      <c r="P684" s="42"/>
      <c r="Q684" s="429"/>
      <c r="R684" s="429"/>
      <c r="S684" s="429"/>
      <c r="T684" s="42"/>
      <c r="U684" s="42"/>
    </row>
    <row r="685" spans="1:21" ht="18.75" x14ac:dyDescent="0.25">
      <c r="A685" s="214"/>
      <c r="B685" s="156"/>
      <c r="C685" s="156"/>
      <c r="D685" s="37"/>
      <c r="E685" s="37"/>
      <c r="F685" s="37"/>
      <c r="G685" s="39"/>
      <c r="H685" s="135" t="s">
        <v>34</v>
      </c>
      <c r="I685" s="181"/>
      <c r="J685" s="166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0)</f>
        <v>0</v>
      </c>
      <c r="K685" s="42"/>
      <c r="L685" s="429"/>
      <c r="M685" s="429"/>
      <c r="N685" s="429"/>
      <c r="O685" s="42"/>
      <c r="P685" s="42"/>
      <c r="Q685" s="429"/>
      <c r="R685" s="429"/>
      <c r="S685" s="429"/>
      <c r="T685" s="42"/>
      <c r="U685" s="42"/>
    </row>
    <row r="686" spans="1:21" ht="18.75" x14ac:dyDescent="0.25">
      <c r="A686" s="214"/>
      <c r="B686" s="156"/>
      <c r="C686" s="156"/>
      <c r="D686" s="37"/>
      <c r="E686" s="37"/>
      <c r="F686" s="37"/>
      <c r="G686" s="39"/>
      <c r="H686" s="135" t="s">
        <v>46</v>
      </c>
      <c r="I686" s="181"/>
      <c r="J686" s="166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0)</f>
        <v>0</v>
      </c>
      <c r="K686" s="42"/>
      <c r="L686" s="429"/>
      <c r="M686" s="429"/>
      <c r="N686" s="429"/>
      <c r="O686" s="42"/>
      <c r="P686" s="42"/>
      <c r="Q686" s="429"/>
      <c r="R686" s="429"/>
      <c r="S686" s="429"/>
      <c r="T686" s="42"/>
      <c r="U686" s="42"/>
    </row>
    <row r="687" spans="1:21" ht="18.75" x14ac:dyDescent="0.25">
      <c r="A687" s="214"/>
      <c r="B687" s="156"/>
      <c r="C687" s="156"/>
      <c r="D687" s="37"/>
      <c r="E687" s="44" t="s">
        <v>253</v>
      </c>
      <c r="F687" s="37"/>
      <c r="G687" s="39"/>
      <c r="H687" s="135" t="s">
        <v>35</v>
      </c>
      <c r="I687" s="181"/>
      <c r="J687" s="166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0)</f>
        <v>0</v>
      </c>
      <c r="K687" s="42"/>
      <c r="L687" s="429"/>
      <c r="M687" s="429"/>
      <c r="N687" s="429"/>
      <c r="O687" s="42"/>
      <c r="P687" s="42"/>
      <c r="Q687" s="429"/>
      <c r="R687" s="429"/>
      <c r="S687" s="429"/>
      <c r="T687" s="42"/>
      <c r="U687" s="42"/>
    </row>
    <row r="688" spans="1:21" ht="18.75" x14ac:dyDescent="0.25">
      <c r="A688" s="214"/>
      <c r="B688" s="156"/>
      <c r="C688" s="156"/>
      <c r="D688" s="37"/>
      <c r="E688" s="37"/>
      <c r="F688" s="37"/>
      <c r="G688" s="39"/>
      <c r="H688" s="135" t="s">
        <v>34</v>
      </c>
      <c r="I688" s="181"/>
      <c r="J688" s="166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0)</f>
        <v>0</v>
      </c>
      <c r="K688" s="42"/>
      <c r="L688" s="429"/>
      <c r="M688" s="429"/>
      <c r="N688" s="429"/>
      <c r="O688" s="42"/>
      <c r="P688" s="42"/>
      <c r="Q688" s="429"/>
      <c r="R688" s="429"/>
      <c r="S688" s="429"/>
      <c r="T688" s="42"/>
      <c r="U688" s="42"/>
    </row>
    <row r="689" spans="1:21" ht="19.5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346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0)</f>
        <v>0</v>
      </c>
      <c r="K689" s="7"/>
      <c r="L689" s="433"/>
      <c r="M689" s="433"/>
      <c r="N689" s="433"/>
      <c r="O689" s="7"/>
      <c r="P689" s="7"/>
      <c r="Q689" s="433"/>
      <c r="R689" s="433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435">
        <f t="shared" ref="I690:J690" ca="1" si="471">I708</f>
        <v>1455</v>
      </c>
      <c r="J690" s="435">
        <f t="shared" ca="1" si="471"/>
        <v>107</v>
      </c>
      <c r="K690" s="436">
        <f ca="1">IF(I690&gt;0,J690*100/I690,0)</f>
        <v>7.3539518900343639</v>
      </c>
      <c r="L690" s="412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14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130">
        <f t="shared" ref="L691:N691" ca="1" si="472">L692+L693</f>
        <v>0</v>
      </c>
      <c r="M691" s="130">
        <f t="shared" ca="1" si="472"/>
        <v>0</v>
      </c>
      <c r="N691" s="130">
        <f t="shared" ca="1" si="472"/>
        <v>0</v>
      </c>
      <c r="O691" s="130">
        <f t="shared" ref="O691:O699" ca="1" si="473">IF(L691&gt;0,N691*100/L691,0)</f>
        <v>0</v>
      </c>
      <c r="P691" s="130">
        <f t="shared" ref="P691:P699" ca="1" si="474">IF(M691&gt;0,N691*100/M691,0)</f>
        <v>0</v>
      </c>
      <c r="Q691" s="130">
        <f t="shared" ref="Q691:S691" ca="1" si="475">Q692+Q693</f>
        <v>3406990</v>
      </c>
      <c r="R691" s="130">
        <f t="shared" ca="1" si="475"/>
        <v>3406990</v>
      </c>
      <c r="S691" s="130">
        <f t="shared" ca="1" si="475"/>
        <v>234664.15</v>
      </c>
      <c r="T691" s="130">
        <f t="shared" ref="T691:T699" ca="1" si="476">IF(Q691&gt;0,S691*100/Q691,0)</f>
        <v>6.8877264095286455</v>
      </c>
      <c r="U691" s="130">
        <f t="shared" ref="U691:U699" ca="1" si="477">IF(R691&gt;0,S691*100/R691,0)</f>
        <v>6.8877264095286455</v>
      </c>
    </row>
    <row r="692" spans="1:21" ht="18.75" x14ac:dyDescent="0.25">
      <c r="A692" s="126"/>
      <c r="B692" s="156"/>
      <c r="C692" s="156"/>
      <c r="D692" s="143"/>
      <c r="E692" s="154" t="s">
        <v>158</v>
      </c>
      <c r="F692" s="37"/>
      <c r="G692" s="39"/>
      <c r="H692" s="157" t="s">
        <v>14</v>
      </c>
      <c r="I692" s="41"/>
      <c r="J692" s="41"/>
      <c r="K692" s="42"/>
      <c r="L692" s="45">
        <f t="shared" ref="L692:N692" ca="1" si="478">L695+L698</f>
        <v>0</v>
      </c>
      <c r="M692" s="45">
        <f t="shared" ca="1" si="478"/>
        <v>0</v>
      </c>
      <c r="N692" s="45">
        <f t="shared" ca="1" si="478"/>
        <v>0</v>
      </c>
      <c r="O692" s="45">
        <f t="shared" ca="1" si="473"/>
        <v>0</v>
      </c>
      <c r="P692" s="45">
        <f t="shared" ca="1" si="474"/>
        <v>0</v>
      </c>
      <c r="Q692" s="45">
        <f t="shared" ref="Q692:S692" ca="1" si="479">Q695+Q698</f>
        <v>0</v>
      </c>
      <c r="R692" s="45">
        <f t="shared" ca="1" si="479"/>
        <v>0</v>
      </c>
      <c r="S692" s="45">
        <f t="shared" ca="1" si="479"/>
        <v>0</v>
      </c>
      <c r="T692" s="45">
        <f t="shared" ca="1" si="476"/>
        <v>0</v>
      </c>
      <c r="U692" s="45">
        <f t="shared" ca="1" si="477"/>
        <v>0</v>
      </c>
    </row>
    <row r="693" spans="1:21" ht="18.75" x14ac:dyDescent="0.25">
      <c r="A693" s="126"/>
      <c r="B693" s="156"/>
      <c r="C693" s="156"/>
      <c r="D693" s="143"/>
      <c r="E693" s="44" t="s">
        <v>159</v>
      </c>
      <c r="F693" s="37"/>
      <c r="G693" s="39"/>
      <c r="H693" s="132" t="s">
        <v>14</v>
      </c>
      <c r="I693" s="41"/>
      <c r="J693" s="41"/>
      <c r="K693" s="42"/>
      <c r="L693" s="43">
        <f t="shared" ref="L693:N693" ca="1" si="480">L696+L699</f>
        <v>0</v>
      </c>
      <c r="M693" s="43">
        <f t="shared" ca="1" si="480"/>
        <v>0</v>
      </c>
      <c r="N693" s="43">
        <f t="shared" ca="1" si="480"/>
        <v>0</v>
      </c>
      <c r="O693" s="43">
        <f t="shared" ca="1" si="473"/>
        <v>0</v>
      </c>
      <c r="P693" s="43">
        <f t="shared" ca="1" si="474"/>
        <v>0</v>
      </c>
      <c r="Q693" s="43">
        <f t="shared" ref="Q693:S693" ca="1" si="481">Q696+Q699</f>
        <v>3406990</v>
      </c>
      <c r="R693" s="43">
        <f t="shared" ca="1" si="481"/>
        <v>3406990</v>
      </c>
      <c r="S693" s="43">
        <f t="shared" ca="1" si="481"/>
        <v>234664.15</v>
      </c>
      <c r="T693" s="43">
        <f t="shared" ca="1" si="476"/>
        <v>6.8877264095286455</v>
      </c>
      <c r="U693" s="43">
        <f t="shared" ca="1" si="477"/>
        <v>6.8877264095286455</v>
      </c>
    </row>
    <row r="694" spans="1:21" ht="18.75" x14ac:dyDescent="0.25">
      <c r="A694" s="126"/>
      <c r="B694" s="156"/>
      <c r="C694" s="156"/>
      <c r="D694" s="38" t="s">
        <v>22</v>
      </c>
      <c r="E694" s="37"/>
      <c r="F694" s="37"/>
      <c r="G694" s="39"/>
      <c r="H694" s="132" t="s">
        <v>14</v>
      </c>
      <c r="I694" s="133"/>
      <c r="J694" s="133"/>
      <c r="K694" s="134"/>
      <c r="L694" s="43">
        <f t="shared" ref="L694:N694" ca="1" si="482">L695+L696</f>
        <v>0</v>
      </c>
      <c r="M694" s="43">
        <f t="shared" ca="1" si="482"/>
        <v>0</v>
      </c>
      <c r="N694" s="43">
        <f t="shared" ca="1" si="482"/>
        <v>0</v>
      </c>
      <c r="O694" s="43">
        <f t="shared" ca="1" si="473"/>
        <v>0</v>
      </c>
      <c r="P694" s="43">
        <f t="shared" ca="1" si="474"/>
        <v>0</v>
      </c>
      <c r="Q694" s="43">
        <f t="shared" ref="Q694:S694" ca="1" si="483">Q695+Q696</f>
        <v>3406990</v>
      </c>
      <c r="R694" s="43">
        <f t="shared" ca="1" si="483"/>
        <v>3406990</v>
      </c>
      <c r="S694" s="43">
        <f t="shared" ca="1" si="483"/>
        <v>234664.15</v>
      </c>
      <c r="T694" s="43">
        <f t="shared" ca="1" si="476"/>
        <v>6.8877264095286455</v>
      </c>
      <c r="U694" s="43">
        <f t="shared" ca="1" si="477"/>
        <v>6.8877264095286455</v>
      </c>
    </row>
    <row r="695" spans="1:21" ht="18.75" x14ac:dyDescent="0.25">
      <c r="A695" s="126"/>
      <c r="B695" s="156"/>
      <c r="C695" s="156"/>
      <c r="D695" s="143"/>
      <c r="E695" s="154" t="s">
        <v>158</v>
      </c>
      <c r="F695" s="37"/>
      <c r="G695" s="39"/>
      <c r="H695" s="157" t="s">
        <v>14</v>
      </c>
      <c r="I695" s="41"/>
      <c r="J695" s="41"/>
      <c r="K695" s="42"/>
      <c r="L695" s="45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5" s="45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5" s="45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5" s="45">
        <f t="shared" ca="1" si="473"/>
        <v>0</v>
      </c>
      <c r="P695" s="45">
        <f t="shared" ca="1" si="474"/>
        <v>0</v>
      </c>
      <c r="Q695" s="45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5" s="45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5" s="45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5" s="45">
        <f t="shared" ca="1" si="476"/>
        <v>0</v>
      </c>
      <c r="U695" s="45">
        <f t="shared" ca="1" si="477"/>
        <v>0</v>
      </c>
    </row>
    <row r="696" spans="1:21" ht="18.75" x14ac:dyDescent="0.25">
      <c r="A696" s="126"/>
      <c r="B696" s="156"/>
      <c r="C696" s="156"/>
      <c r="D696" s="143"/>
      <c r="E696" s="44" t="s">
        <v>159</v>
      </c>
      <c r="F696" s="37"/>
      <c r="G696" s="39"/>
      <c r="H696" s="132" t="s">
        <v>14</v>
      </c>
      <c r="I696" s="41"/>
      <c r="J696" s="41"/>
      <c r="K696" s="42"/>
      <c r="L696" s="43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6" s="43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6" s="43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6" s="43">
        <f t="shared" ca="1" si="473"/>
        <v>0</v>
      </c>
      <c r="P696" s="43">
        <f t="shared" ca="1" si="474"/>
        <v>0</v>
      </c>
      <c r="Q696" s="43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6" s="43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6" s="43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234664.15)</f>
        <v>234664.15</v>
      </c>
      <c r="T696" s="43">
        <f t="shared" ca="1" si="476"/>
        <v>6.8877264095286455</v>
      </c>
      <c r="U696" s="43">
        <f t="shared" ca="1" si="477"/>
        <v>6.8877264095286455</v>
      </c>
    </row>
    <row r="697" spans="1:21" ht="18.75" x14ac:dyDescent="0.25">
      <c r="A697" s="126"/>
      <c r="B697" s="156"/>
      <c r="C697" s="156"/>
      <c r="D697" s="38" t="s">
        <v>23</v>
      </c>
      <c r="E697" s="37"/>
      <c r="F697" s="37"/>
      <c r="G697" s="39"/>
      <c r="H697" s="135" t="s">
        <v>14</v>
      </c>
      <c r="I697" s="133"/>
      <c r="J697" s="133"/>
      <c r="K697" s="134"/>
      <c r="L697" s="43">
        <f t="shared" ref="L697:N697" ca="1" si="484">L698+L699</f>
        <v>0</v>
      </c>
      <c r="M697" s="43">
        <f t="shared" ca="1" si="484"/>
        <v>0</v>
      </c>
      <c r="N697" s="43">
        <f t="shared" ca="1" si="484"/>
        <v>0</v>
      </c>
      <c r="O697" s="43">
        <f t="shared" ca="1" si="473"/>
        <v>0</v>
      </c>
      <c r="P697" s="43">
        <f t="shared" ca="1" si="474"/>
        <v>0</v>
      </c>
      <c r="Q697" s="43">
        <f t="shared" ref="Q697:S697" ca="1" si="485">Q698+Q699</f>
        <v>0</v>
      </c>
      <c r="R697" s="43">
        <f t="shared" ca="1" si="485"/>
        <v>0</v>
      </c>
      <c r="S697" s="43">
        <f t="shared" ca="1" si="485"/>
        <v>0</v>
      </c>
      <c r="T697" s="43">
        <f t="shared" ca="1" si="476"/>
        <v>0</v>
      </c>
      <c r="U697" s="43">
        <f t="shared" ca="1" si="477"/>
        <v>0</v>
      </c>
    </row>
    <row r="698" spans="1:21" ht="18.75" x14ac:dyDescent="0.25">
      <c r="A698" s="126"/>
      <c r="B698" s="156"/>
      <c r="C698" s="156"/>
      <c r="D698" s="37"/>
      <c r="E698" s="154" t="s">
        <v>20</v>
      </c>
      <c r="F698" s="37"/>
      <c r="G698" s="39"/>
      <c r="H698" s="157" t="s">
        <v>14</v>
      </c>
      <c r="I698" s="133"/>
      <c r="J698" s="133"/>
      <c r="K698" s="134"/>
      <c r="L698" s="45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8" s="45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8" s="45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8" s="45">
        <f t="shared" ca="1" si="473"/>
        <v>0</v>
      </c>
      <c r="P698" s="45">
        <f t="shared" ca="1" si="474"/>
        <v>0</v>
      </c>
      <c r="Q698" s="45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8" s="45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8" s="45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8" s="45">
        <f t="shared" ca="1" si="476"/>
        <v>0</v>
      </c>
      <c r="U698" s="45">
        <f t="shared" ca="1" si="477"/>
        <v>0</v>
      </c>
    </row>
    <row r="699" spans="1:21" ht="18.75" x14ac:dyDescent="0.25">
      <c r="A699" s="126"/>
      <c r="B699" s="156"/>
      <c r="C699" s="156"/>
      <c r="D699" s="37"/>
      <c r="E699" s="44" t="s">
        <v>21</v>
      </c>
      <c r="F699" s="37"/>
      <c r="G699" s="39"/>
      <c r="H699" s="135" t="s">
        <v>14</v>
      </c>
      <c r="I699" s="133"/>
      <c r="J699" s="133"/>
      <c r="K699" s="134"/>
      <c r="L699" s="43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9" s="43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9" s="43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9" s="43">
        <f t="shared" ca="1" si="473"/>
        <v>0</v>
      </c>
      <c r="P699" s="43">
        <f t="shared" ca="1" si="474"/>
        <v>0</v>
      </c>
      <c r="Q699" s="43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9" s="43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9" s="43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9" s="43">
        <f t="shared" ca="1" si="476"/>
        <v>0</v>
      </c>
      <c r="U699" s="43">
        <f t="shared" ca="1" si="477"/>
        <v>0</v>
      </c>
    </row>
    <row r="700" spans="1:21" ht="19.5" x14ac:dyDescent="0.3">
      <c r="A700" s="136"/>
      <c r="B700" s="137"/>
      <c r="C700" s="178" t="s">
        <v>18</v>
      </c>
      <c r="D700" s="138" t="s">
        <v>38</v>
      </c>
      <c r="E700" s="139"/>
      <c r="F700" s="139"/>
      <c r="G700" s="139"/>
      <c r="H700" s="179"/>
      <c r="I700" s="133"/>
      <c r="J700" s="133"/>
      <c r="K700" s="134"/>
      <c r="L700" s="42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43"/>
      <c r="E701" s="142" t="s">
        <v>256</v>
      </c>
      <c r="F701" s="143"/>
      <c r="G701" s="141"/>
      <c r="H701" s="135" t="s">
        <v>257</v>
      </c>
      <c r="I701" s="165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1" s="166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0)</f>
        <v>0</v>
      </c>
      <c r="K701" s="150">
        <f t="shared" ref="K701:K711" ca="1" si="486">IF(I701&gt;0,J701*100/I701,0)</f>
        <v>0</v>
      </c>
      <c r="L701" s="134"/>
      <c r="M701" s="134"/>
      <c r="N701" s="42"/>
      <c r="O701" s="134"/>
      <c r="P701" s="134"/>
      <c r="Q701" s="134"/>
      <c r="R701" s="134"/>
      <c r="S701" s="134"/>
      <c r="T701" s="134"/>
      <c r="U701" s="134"/>
    </row>
    <row r="702" spans="1:21" ht="19.5" x14ac:dyDescent="0.3">
      <c r="A702" s="214"/>
      <c r="B702" s="156"/>
      <c r="C702" s="156"/>
      <c r="D702" s="143"/>
      <c r="E702" s="437" t="s">
        <v>258</v>
      </c>
      <c r="F702" s="143"/>
      <c r="G702" s="141"/>
      <c r="H702" s="129" t="s">
        <v>35</v>
      </c>
      <c r="I702" s="145">
        <f t="shared" ref="I702:J702" ca="1" si="487">I704+I706</f>
        <v>1517</v>
      </c>
      <c r="J702" s="145">
        <f t="shared" ca="1" si="487"/>
        <v>243</v>
      </c>
      <c r="K702" s="130">
        <f t="shared" ca="1" si="486"/>
        <v>16.018457481872115</v>
      </c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43"/>
      <c r="E703" s="143"/>
      <c r="F703" s="143"/>
      <c r="G703" s="141"/>
      <c r="H703" s="129" t="s">
        <v>46</v>
      </c>
      <c r="I703" s="340">
        <v>0</v>
      </c>
      <c r="J703" s="145">
        <f ca="1">J705+J707</f>
        <v>222.74</v>
      </c>
      <c r="K703" s="130">
        <f t="shared" si="486"/>
        <v>0</v>
      </c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43"/>
      <c r="E704" s="143"/>
      <c r="F704" s="142" t="s">
        <v>259</v>
      </c>
      <c r="G704" s="141"/>
      <c r="H704" s="135" t="s">
        <v>35</v>
      </c>
      <c r="I704" s="165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4" s="165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243)</f>
        <v>243</v>
      </c>
      <c r="K704" s="43">
        <f t="shared" ca="1" si="486"/>
        <v>16.701030927835053</v>
      </c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43"/>
      <c r="E705" s="143"/>
      <c r="F705" s="143"/>
      <c r="G705" s="141"/>
      <c r="H705" s="135" t="s">
        <v>46</v>
      </c>
      <c r="I705" s="189">
        <v>0</v>
      </c>
      <c r="J705" s="165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222.74)</f>
        <v>222.74</v>
      </c>
      <c r="K705" s="43">
        <f t="shared" si="486"/>
        <v>0</v>
      </c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43"/>
      <c r="E706" s="143"/>
      <c r="F706" s="142" t="s">
        <v>260</v>
      </c>
      <c r="G706" s="141"/>
      <c r="H706" s="135" t="s">
        <v>35</v>
      </c>
      <c r="I706" s="165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6" s="165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6" s="150">
        <f t="shared" ca="1" si="486"/>
        <v>0</v>
      </c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43"/>
      <c r="E707" s="143"/>
      <c r="F707" s="143"/>
      <c r="G707" s="141"/>
      <c r="H707" s="135" t="s">
        <v>46</v>
      </c>
      <c r="I707" s="189">
        <v>0</v>
      </c>
      <c r="J707" s="165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7" s="43">
        <f t="shared" si="486"/>
        <v>0</v>
      </c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43"/>
      <c r="E708" s="142" t="s">
        <v>261</v>
      </c>
      <c r="F708" s="143"/>
      <c r="G708" s="141"/>
      <c r="H708" s="132" t="s">
        <v>35</v>
      </c>
      <c r="I708" s="165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8" s="165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107)</f>
        <v>107</v>
      </c>
      <c r="K708" s="43">
        <f t="shared" ca="1" si="486"/>
        <v>7.3539518900343639</v>
      </c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43"/>
      <c r="E709" s="438" t="s">
        <v>262</v>
      </c>
      <c r="F709" s="143"/>
      <c r="G709" s="141"/>
      <c r="H709" s="132" t="s">
        <v>46</v>
      </c>
      <c r="I709" s="189">
        <v>0</v>
      </c>
      <c r="J709" s="165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84)</f>
        <v>84</v>
      </c>
      <c r="K709" s="43">
        <f t="shared" si="486"/>
        <v>0</v>
      </c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37"/>
      <c r="E710" s="44" t="s">
        <v>263</v>
      </c>
      <c r="F710" s="37"/>
      <c r="G710" s="39"/>
      <c r="H710" s="176" t="s">
        <v>35</v>
      </c>
      <c r="I710" s="165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10" s="165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0)</f>
        <v>0</v>
      </c>
      <c r="K710" s="43">
        <f t="shared" ca="1" si="486"/>
        <v>0</v>
      </c>
      <c r="L710" s="42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37"/>
      <c r="E711" s="438" t="s">
        <v>264</v>
      </c>
      <c r="F711" s="37"/>
      <c r="G711" s="39"/>
      <c r="H711" s="176" t="s">
        <v>46</v>
      </c>
      <c r="I711" s="189">
        <v>0</v>
      </c>
      <c r="J711" s="165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1" s="43">
        <f t="shared" si="486"/>
        <v>0</v>
      </c>
      <c r="L711" s="42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441">
        <f>IF(I713&gt;0,J713*100/I713,0)</f>
        <v>0</v>
      </c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1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130">
        <f t="shared" ref="L715:N715" ca="1" si="488">L716+L717</f>
        <v>0</v>
      </c>
      <c r="M715" s="130">
        <f t="shared" ca="1" si="488"/>
        <v>0</v>
      </c>
      <c r="N715" s="130">
        <f t="shared" ca="1" si="488"/>
        <v>0</v>
      </c>
      <c r="O715" s="130">
        <f t="shared" ref="O715:O723" ca="1" si="489">IF(L715&gt;0,N715*100/L715,0)</f>
        <v>0</v>
      </c>
      <c r="P715" s="130">
        <f t="shared" ref="P715:P723" ca="1" si="490">IF(M715&gt;0,N715*100/M715,0)</f>
        <v>0</v>
      </c>
      <c r="Q715" s="130">
        <f t="shared" ref="Q715:S715" ca="1" si="491">Q716+Q717</f>
        <v>0</v>
      </c>
      <c r="R715" s="130">
        <f t="shared" ca="1" si="491"/>
        <v>0</v>
      </c>
      <c r="S715" s="130">
        <f t="shared" ca="1" si="491"/>
        <v>0</v>
      </c>
      <c r="T715" s="130">
        <f t="shared" ref="T715:T723" ca="1" si="492">IF(Q715&gt;0,S715*100/Q715,0)</f>
        <v>0</v>
      </c>
      <c r="U715" s="130">
        <f t="shared" ref="U715:U723" ca="1" si="493">IF(R715&gt;0,S715*100/R715,0)</f>
        <v>0</v>
      </c>
    </row>
    <row r="716" spans="1:21" ht="18.75" hidden="1" x14ac:dyDescent="0.25">
      <c r="A716" s="126"/>
      <c r="B716" s="156"/>
      <c r="C716" s="156"/>
      <c r="D716" s="143"/>
      <c r="E716" s="154" t="s">
        <v>158</v>
      </c>
      <c r="F716" s="37"/>
      <c r="G716" s="39"/>
      <c r="H716" s="157" t="s">
        <v>14</v>
      </c>
      <c r="I716" s="41"/>
      <c r="J716" s="41"/>
      <c r="K716" s="42"/>
      <c r="L716" s="45">
        <f t="shared" ref="L716:N716" ca="1" si="494">L719+L722</f>
        <v>0</v>
      </c>
      <c r="M716" s="45">
        <f t="shared" ca="1" si="494"/>
        <v>0</v>
      </c>
      <c r="N716" s="45">
        <f t="shared" ca="1" si="494"/>
        <v>0</v>
      </c>
      <c r="O716" s="45">
        <f t="shared" ca="1" si="489"/>
        <v>0</v>
      </c>
      <c r="P716" s="45">
        <f t="shared" ca="1" si="490"/>
        <v>0</v>
      </c>
      <c r="Q716" s="45">
        <f t="shared" ref="Q716:S716" ca="1" si="495">Q719+Q722</f>
        <v>0</v>
      </c>
      <c r="R716" s="45">
        <f t="shared" ca="1" si="495"/>
        <v>0</v>
      </c>
      <c r="S716" s="45">
        <f t="shared" ca="1" si="495"/>
        <v>0</v>
      </c>
      <c r="T716" s="45">
        <f t="shared" ca="1" si="492"/>
        <v>0</v>
      </c>
      <c r="U716" s="45">
        <f t="shared" ca="1" si="493"/>
        <v>0</v>
      </c>
    </row>
    <row r="717" spans="1:21" ht="18.75" hidden="1" x14ac:dyDescent="0.25">
      <c r="A717" s="126"/>
      <c r="B717" s="156"/>
      <c r="C717" s="156"/>
      <c r="D717" s="143"/>
      <c r="E717" s="154" t="s">
        <v>159</v>
      </c>
      <c r="F717" s="37"/>
      <c r="G717" s="39"/>
      <c r="H717" s="157" t="s">
        <v>14</v>
      </c>
      <c r="I717" s="41"/>
      <c r="J717" s="41"/>
      <c r="K717" s="42"/>
      <c r="L717" s="43">
        <f t="shared" ref="L717:N717" ca="1" si="496">L720+L723</f>
        <v>0</v>
      </c>
      <c r="M717" s="43">
        <f t="shared" ca="1" si="496"/>
        <v>0</v>
      </c>
      <c r="N717" s="43">
        <f t="shared" ca="1" si="496"/>
        <v>0</v>
      </c>
      <c r="O717" s="43">
        <f t="shared" ca="1" si="489"/>
        <v>0</v>
      </c>
      <c r="P717" s="43">
        <f t="shared" ca="1" si="490"/>
        <v>0</v>
      </c>
      <c r="Q717" s="43">
        <f t="shared" ref="Q717:S717" ca="1" si="497">Q720+Q723</f>
        <v>0</v>
      </c>
      <c r="R717" s="43">
        <f t="shared" ca="1" si="497"/>
        <v>0</v>
      </c>
      <c r="S717" s="43">
        <f t="shared" ca="1" si="497"/>
        <v>0</v>
      </c>
      <c r="T717" s="43">
        <f t="shared" ca="1" si="492"/>
        <v>0</v>
      </c>
      <c r="U717" s="43">
        <f t="shared" ca="1" si="493"/>
        <v>0</v>
      </c>
    </row>
    <row r="718" spans="1:21" ht="19.5" hidden="1" x14ac:dyDescent="0.3">
      <c r="A718" s="126"/>
      <c r="B718" s="156"/>
      <c r="C718" s="156"/>
      <c r="D718" s="385" t="s">
        <v>22</v>
      </c>
      <c r="E718" s="37"/>
      <c r="F718" s="37"/>
      <c r="G718" s="39"/>
      <c r="H718" s="384" t="s">
        <v>14</v>
      </c>
      <c r="I718" s="133"/>
      <c r="J718" s="133"/>
      <c r="K718" s="134"/>
      <c r="L718" s="43">
        <f t="shared" ref="L718:N718" ca="1" si="498">L719+L720</f>
        <v>0</v>
      </c>
      <c r="M718" s="43">
        <f t="shared" ca="1" si="498"/>
        <v>0</v>
      </c>
      <c r="N718" s="43">
        <f t="shared" ca="1" si="498"/>
        <v>0</v>
      </c>
      <c r="O718" s="43">
        <f t="shared" ca="1" si="489"/>
        <v>0</v>
      </c>
      <c r="P718" s="43">
        <f t="shared" ca="1" si="490"/>
        <v>0</v>
      </c>
      <c r="Q718" s="43">
        <f t="shared" ref="Q718:S718" ca="1" si="499">Q719+Q720</f>
        <v>0</v>
      </c>
      <c r="R718" s="43">
        <f t="shared" ca="1" si="499"/>
        <v>0</v>
      </c>
      <c r="S718" s="43">
        <f t="shared" ca="1" si="499"/>
        <v>0</v>
      </c>
      <c r="T718" s="43">
        <f t="shared" ca="1" si="492"/>
        <v>0</v>
      </c>
      <c r="U718" s="43">
        <f t="shared" ca="1" si="493"/>
        <v>0</v>
      </c>
    </row>
    <row r="719" spans="1:21" ht="18.75" hidden="1" x14ac:dyDescent="0.25">
      <c r="A719" s="126"/>
      <c r="B719" s="156"/>
      <c r="C719" s="156"/>
      <c r="D719" s="143"/>
      <c r="E719" s="154" t="s">
        <v>158</v>
      </c>
      <c r="F719" s="37"/>
      <c r="G719" s="39"/>
      <c r="H719" s="157" t="s">
        <v>14</v>
      </c>
      <c r="I719" s="41"/>
      <c r="J719" s="41"/>
      <c r="K719" s="42"/>
      <c r="L719" s="45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9" s="45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9" s="45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9" s="45">
        <f t="shared" ca="1" si="489"/>
        <v>0</v>
      </c>
      <c r="P719" s="45">
        <f t="shared" ca="1" si="490"/>
        <v>0</v>
      </c>
      <c r="Q719" s="45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9" s="45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9" s="45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9" s="45">
        <f t="shared" ca="1" si="492"/>
        <v>0</v>
      </c>
      <c r="U719" s="45">
        <f t="shared" ca="1" si="493"/>
        <v>0</v>
      </c>
    </row>
    <row r="720" spans="1:21" ht="18.75" hidden="1" x14ac:dyDescent="0.25">
      <c r="A720" s="126"/>
      <c r="B720" s="156"/>
      <c r="C720" s="156"/>
      <c r="D720" s="143"/>
      <c r="E720" s="154" t="s">
        <v>159</v>
      </c>
      <c r="F720" s="37"/>
      <c r="G720" s="39"/>
      <c r="H720" s="157" t="s">
        <v>14</v>
      </c>
      <c r="I720" s="41"/>
      <c r="J720" s="41"/>
      <c r="K720" s="42"/>
      <c r="L720" s="43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20" s="43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20" s="43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20" s="43">
        <f t="shared" ca="1" si="489"/>
        <v>0</v>
      </c>
      <c r="P720" s="43">
        <f t="shared" ca="1" si="490"/>
        <v>0</v>
      </c>
      <c r="Q720" s="43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20" s="43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20" s="43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20" s="43">
        <f t="shared" ca="1" si="492"/>
        <v>0</v>
      </c>
      <c r="U720" s="43">
        <f t="shared" ca="1" si="493"/>
        <v>0</v>
      </c>
    </row>
    <row r="721" spans="1:21" ht="19.5" hidden="1" x14ac:dyDescent="0.3">
      <c r="A721" s="126"/>
      <c r="B721" s="156"/>
      <c r="C721" s="156"/>
      <c r="D721" s="385" t="s">
        <v>23</v>
      </c>
      <c r="E721" s="37"/>
      <c r="F721" s="37"/>
      <c r="G721" s="39"/>
      <c r="H721" s="386" t="s">
        <v>14</v>
      </c>
      <c r="I721" s="133"/>
      <c r="J721" s="133"/>
      <c r="K721" s="134"/>
      <c r="L721" s="43">
        <f t="shared" ref="L721:N721" ca="1" si="500">L722+L723</f>
        <v>0</v>
      </c>
      <c r="M721" s="43">
        <f t="shared" ca="1" si="500"/>
        <v>0</v>
      </c>
      <c r="N721" s="43">
        <f t="shared" ca="1" si="500"/>
        <v>0</v>
      </c>
      <c r="O721" s="43">
        <f t="shared" ca="1" si="489"/>
        <v>0</v>
      </c>
      <c r="P721" s="43">
        <f t="shared" ca="1" si="490"/>
        <v>0</v>
      </c>
      <c r="Q721" s="43">
        <f t="shared" ref="Q721:S721" ca="1" si="501">Q722+Q723</f>
        <v>0</v>
      </c>
      <c r="R721" s="43">
        <f t="shared" ca="1" si="501"/>
        <v>0</v>
      </c>
      <c r="S721" s="43">
        <f t="shared" ca="1" si="501"/>
        <v>0</v>
      </c>
      <c r="T721" s="43">
        <f t="shared" ca="1" si="492"/>
        <v>0</v>
      </c>
      <c r="U721" s="43">
        <f t="shared" ca="1" si="493"/>
        <v>0</v>
      </c>
    </row>
    <row r="722" spans="1:21" ht="18.75" hidden="1" x14ac:dyDescent="0.25">
      <c r="A722" s="126"/>
      <c r="B722" s="156"/>
      <c r="C722" s="156"/>
      <c r="D722" s="37"/>
      <c r="E722" s="154" t="s">
        <v>20</v>
      </c>
      <c r="F722" s="37"/>
      <c r="G722" s="39"/>
      <c r="H722" s="157" t="s">
        <v>14</v>
      </c>
      <c r="I722" s="133"/>
      <c r="J722" s="133"/>
      <c r="K722" s="134"/>
      <c r="L722" s="45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2" s="45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2" s="45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2" s="45">
        <f t="shared" ca="1" si="489"/>
        <v>0</v>
      </c>
      <c r="P722" s="45">
        <f t="shared" ca="1" si="490"/>
        <v>0</v>
      </c>
      <c r="Q722" s="45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2" s="45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2" s="45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2" s="45">
        <f t="shared" ca="1" si="492"/>
        <v>0</v>
      </c>
      <c r="U722" s="45">
        <f t="shared" ca="1" si="493"/>
        <v>0</v>
      </c>
    </row>
    <row r="723" spans="1:21" ht="18.75" hidden="1" x14ac:dyDescent="0.25">
      <c r="A723" s="126"/>
      <c r="B723" s="156"/>
      <c r="C723" s="156"/>
      <c r="D723" s="37"/>
      <c r="E723" s="154" t="s">
        <v>21</v>
      </c>
      <c r="F723" s="37"/>
      <c r="G723" s="39"/>
      <c r="H723" s="387" t="s">
        <v>14</v>
      </c>
      <c r="I723" s="133"/>
      <c r="J723" s="133"/>
      <c r="K723" s="134"/>
      <c r="L723" s="43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3" s="43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3" s="43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3" s="43">
        <f t="shared" ca="1" si="489"/>
        <v>0</v>
      </c>
      <c r="P723" s="43">
        <f t="shared" ca="1" si="490"/>
        <v>0</v>
      </c>
      <c r="Q723" s="43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3" s="43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3" s="43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3" s="43">
        <f t="shared" ca="1" si="492"/>
        <v>0</v>
      </c>
      <c r="U723" s="43">
        <f t="shared" ca="1" si="493"/>
        <v>0</v>
      </c>
    </row>
    <row r="724" spans="1:21" ht="19.5" hidden="1" x14ac:dyDescent="0.3">
      <c r="A724" s="136"/>
      <c r="B724" s="137"/>
      <c r="C724" s="442" t="s">
        <v>18</v>
      </c>
      <c r="D724" s="443" t="s">
        <v>38</v>
      </c>
      <c r="E724" s="139"/>
      <c r="F724" s="139"/>
      <c r="G724" s="140"/>
      <c r="H724" s="179"/>
      <c r="I724" s="133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37"/>
      <c r="E725" s="154" t="s">
        <v>267</v>
      </c>
      <c r="F725" s="37"/>
      <c r="G725" s="39"/>
      <c r="H725" s="157" t="s">
        <v>46</v>
      </c>
      <c r="I725" s="444">
        <v>0</v>
      </c>
      <c r="J725" s="41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449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7" s="449">
        <f ca="1">J743+J747+J750</f>
        <v>56</v>
      </c>
      <c r="K727" s="436">
        <f t="shared" ref="K727:K728" ca="1" si="502">IF(I727&gt;0,J727*100/I727,0)</f>
        <v>3.8997214484679668</v>
      </c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449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8" s="449">
        <f ca="1">J753+J756</f>
        <v>0</v>
      </c>
      <c r="K728" s="436">
        <f t="shared" ca="1" si="502"/>
        <v>0</v>
      </c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14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130">
        <f t="shared" ref="L729:N729" ca="1" si="503">L730+L731</f>
        <v>0</v>
      </c>
      <c r="M729" s="130">
        <f t="shared" ca="1" si="503"/>
        <v>0</v>
      </c>
      <c r="N729" s="130">
        <f t="shared" ca="1" si="503"/>
        <v>0</v>
      </c>
      <c r="O729" s="130">
        <f t="shared" ref="O729:O737" ca="1" si="504">IF(L729&gt;0,N729*100/L729,0)</f>
        <v>0</v>
      </c>
      <c r="P729" s="130">
        <f t="shared" ref="P729:P737" ca="1" si="505">IF(M729&gt;0,N729*100/M729,0)</f>
        <v>0</v>
      </c>
      <c r="Q729" s="130">
        <f t="shared" ref="Q729:S729" ca="1" si="506">Q730+Q731</f>
        <v>11271490</v>
      </c>
      <c r="R729" s="130">
        <f t="shared" ca="1" si="506"/>
        <v>11271490</v>
      </c>
      <c r="S729" s="130">
        <f t="shared" ca="1" si="506"/>
        <v>116375</v>
      </c>
      <c r="T729" s="130">
        <f t="shared" ref="T729:T737" ca="1" si="507">IF(Q729&gt;0,S729*100/Q729,0)</f>
        <v>1.0324721931173253</v>
      </c>
      <c r="U729" s="130">
        <f t="shared" ref="U729:U737" ca="1" si="508">IF(R729&gt;0,S729*100/R729,0)</f>
        <v>1.0324721931173253</v>
      </c>
    </row>
    <row r="730" spans="1:21" ht="18.75" x14ac:dyDescent="0.25">
      <c r="A730" s="126"/>
      <c r="B730" s="156"/>
      <c r="C730" s="156"/>
      <c r="D730" s="143"/>
      <c r="E730" s="154" t="s">
        <v>158</v>
      </c>
      <c r="F730" s="37"/>
      <c r="G730" s="39"/>
      <c r="H730" s="157" t="s">
        <v>14</v>
      </c>
      <c r="I730" s="41"/>
      <c r="J730" s="41"/>
      <c r="K730" s="42"/>
      <c r="L730" s="45">
        <f t="shared" ref="L730:N730" ca="1" si="509">L733+L736</f>
        <v>0</v>
      </c>
      <c r="M730" s="45">
        <f t="shared" ca="1" si="509"/>
        <v>0</v>
      </c>
      <c r="N730" s="45">
        <f t="shared" ca="1" si="509"/>
        <v>0</v>
      </c>
      <c r="O730" s="45">
        <f t="shared" ca="1" si="504"/>
        <v>0</v>
      </c>
      <c r="P730" s="45">
        <f t="shared" ca="1" si="505"/>
        <v>0</v>
      </c>
      <c r="Q730" s="45">
        <f t="shared" ref="Q730:S730" ca="1" si="510">Q733+Q736</f>
        <v>0</v>
      </c>
      <c r="R730" s="45">
        <f t="shared" ca="1" si="510"/>
        <v>0</v>
      </c>
      <c r="S730" s="45">
        <f t="shared" ca="1" si="510"/>
        <v>0</v>
      </c>
      <c r="T730" s="45">
        <f t="shared" ca="1" si="507"/>
        <v>0</v>
      </c>
      <c r="U730" s="45">
        <f t="shared" ca="1" si="508"/>
        <v>0</v>
      </c>
    </row>
    <row r="731" spans="1:21" ht="18.75" x14ac:dyDescent="0.25">
      <c r="A731" s="126"/>
      <c r="B731" s="156"/>
      <c r="C731" s="156"/>
      <c r="D731" s="143"/>
      <c r="E731" s="44" t="s">
        <v>159</v>
      </c>
      <c r="F731" s="37"/>
      <c r="G731" s="39"/>
      <c r="H731" s="132" t="s">
        <v>14</v>
      </c>
      <c r="I731" s="41"/>
      <c r="J731" s="41"/>
      <c r="K731" s="42"/>
      <c r="L731" s="43">
        <f t="shared" ref="L731:N731" ca="1" si="511">L734+L737</f>
        <v>0</v>
      </c>
      <c r="M731" s="43">
        <f t="shared" ca="1" si="511"/>
        <v>0</v>
      </c>
      <c r="N731" s="43">
        <f t="shared" ca="1" si="511"/>
        <v>0</v>
      </c>
      <c r="O731" s="43">
        <f t="shared" ca="1" si="504"/>
        <v>0</v>
      </c>
      <c r="P731" s="43">
        <f t="shared" ca="1" si="505"/>
        <v>0</v>
      </c>
      <c r="Q731" s="43">
        <f t="shared" ref="Q731:S731" ca="1" si="512">Q734+Q737</f>
        <v>11271490</v>
      </c>
      <c r="R731" s="43">
        <f t="shared" ca="1" si="512"/>
        <v>11271490</v>
      </c>
      <c r="S731" s="43">
        <f t="shared" ca="1" si="512"/>
        <v>116375</v>
      </c>
      <c r="T731" s="43">
        <f t="shared" ca="1" si="507"/>
        <v>1.0324721931173253</v>
      </c>
      <c r="U731" s="43">
        <f t="shared" ca="1" si="508"/>
        <v>1.0324721931173253</v>
      </c>
    </row>
    <row r="732" spans="1:21" ht="18.75" x14ac:dyDescent="0.25">
      <c r="A732" s="126"/>
      <c r="B732" s="156"/>
      <c r="C732" s="156"/>
      <c r="D732" s="38" t="s">
        <v>22</v>
      </c>
      <c r="E732" s="37"/>
      <c r="F732" s="37"/>
      <c r="G732" s="39"/>
      <c r="H732" s="132" t="s">
        <v>14</v>
      </c>
      <c r="I732" s="133"/>
      <c r="J732" s="133"/>
      <c r="K732" s="134"/>
      <c r="L732" s="43">
        <f t="shared" ref="L732:N732" ca="1" si="513">L733+L734</f>
        <v>0</v>
      </c>
      <c r="M732" s="43">
        <f t="shared" ca="1" si="513"/>
        <v>0</v>
      </c>
      <c r="N732" s="43">
        <f t="shared" ca="1" si="513"/>
        <v>0</v>
      </c>
      <c r="O732" s="43">
        <f t="shared" ca="1" si="504"/>
        <v>0</v>
      </c>
      <c r="P732" s="43">
        <f t="shared" ca="1" si="505"/>
        <v>0</v>
      </c>
      <c r="Q732" s="43">
        <f t="shared" ref="Q732:S732" ca="1" si="514">Q733+Q734</f>
        <v>11271490</v>
      </c>
      <c r="R732" s="43">
        <f t="shared" ca="1" si="514"/>
        <v>11271490</v>
      </c>
      <c r="S732" s="43">
        <f t="shared" ca="1" si="514"/>
        <v>116375</v>
      </c>
      <c r="T732" s="43">
        <f t="shared" ca="1" si="507"/>
        <v>1.0324721931173253</v>
      </c>
      <c r="U732" s="43">
        <f t="shared" ca="1" si="508"/>
        <v>1.0324721931173253</v>
      </c>
    </row>
    <row r="733" spans="1:21" ht="18.75" x14ac:dyDescent="0.25">
      <c r="A733" s="126"/>
      <c r="B733" s="156"/>
      <c r="C733" s="156"/>
      <c r="D733" s="143"/>
      <c r="E733" s="154" t="s">
        <v>158</v>
      </c>
      <c r="F733" s="37"/>
      <c r="G733" s="39"/>
      <c r="H733" s="157" t="s">
        <v>14</v>
      </c>
      <c r="I733" s="41"/>
      <c r="J733" s="41"/>
      <c r="K733" s="42"/>
      <c r="L733" s="45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3" s="45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3" s="45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3" s="45">
        <f t="shared" ca="1" si="504"/>
        <v>0</v>
      </c>
      <c r="P733" s="45">
        <f t="shared" ca="1" si="505"/>
        <v>0</v>
      </c>
      <c r="Q733" s="45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3" s="45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3" s="45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3" s="45">
        <f t="shared" ca="1" si="507"/>
        <v>0</v>
      </c>
      <c r="U733" s="45">
        <f t="shared" ca="1" si="508"/>
        <v>0</v>
      </c>
    </row>
    <row r="734" spans="1:21" ht="18.75" x14ac:dyDescent="0.25">
      <c r="A734" s="126"/>
      <c r="B734" s="156"/>
      <c r="C734" s="156"/>
      <c r="D734" s="143"/>
      <c r="E734" s="44" t="s">
        <v>159</v>
      </c>
      <c r="F734" s="37"/>
      <c r="G734" s="39"/>
      <c r="H734" s="132" t="s">
        <v>14</v>
      </c>
      <c r="I734" s="41"/>
      <c r="J734" s="41"/>
      <c r="K734" s="42"/>
      <c r="L734" s="43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4" s="43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4" s="43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4" s="43">
        <f t="shared" ca="1" si="504"/>
        <v>0</v>
      </c>
      <c r="P734" s="43">
        <f t="shared" ca="1" si="505"/>
        <v>0</v>
      </c>
      <c r="Q734" s="43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4" s="43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4" s="43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116375)</f>
        <v>116375</v>
      </c>
      <c r="T734" s="43">
        <f t="shared" ca="1" si="507"/>
        <v>1.0324721931173253</v>
      </c>
      <c r="U734" s="43">
        <f t="shared" ca="1" si="508"/>
        <v>1.0324721931173253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3">
        <f t="shared" ref="L735:N735" ca="1" si="515">L736+L737</f>
        <v>0</v>
      </c>
      <c r="M735" s="43">
        <f t="shared" ca="1" si="515"/>
        <v>0</v>
      </c>
      <c r="N735" s="43">
        <f t="shared" ca="1" si="515"/>
        <v>0</v>
      </c>
      <c r="O735" s="43">
        <f t="shared" ca="1" si="504"/>
        <v>0</v>
      </c>
      <c r="P735" s="43">
        <f t="shared" ca="1" si="505"/>
        <v>0</v>
      </c>
      <c r="Q735" s="43">
        <f t="shared" ref="Q735:S735" ca="1" si="516">Q736+Q737</f>
        <v>0</v>
      </c>
      <c r="R735" s="43">
        <f t="shared" ca="1" si="516"/>
        <v>0</v>
      </c>
      <c r="S735" s="43">
        <f t="shared" ca="1" si="516"/>
        <v>0</v>
      </c>
      <c r="T735" s="43">
        <f t="shared" ca="1" si="507"/>
        <v>0</v>
      </c>
      <c r="U735" s="43">
        <f t="shared" ca="1" si="508"/>
        <v>0</v>
      </c>
    </row>
    <row r="736" spans="1:21" ht="18.75" x14ac:dyDescent="0.25">
      <c r="A736" s="126"/>
      <c r="B736" s="156"/>
      <c r="C736" s="156"/>
      <c r="D736" s="156"/>
      <c r="E736" s="325" t="s">
        <v>20</v>
      </c>
      <c r="F736" s="156"/>
      <c r="G736" s="39"/>
      <c r="H736" s="157" t="s">
        <v>14</v>
      </c>
      <c r="I736" s="133"/>
      <c r="J736" s="133"/>
      <c r="K736" s="134"/>
      <c r="L736" s="45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6" s="45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6" s="45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6" s="45">
        <f t="shared" ca="1" si="504"/>
        <v>0</v>
      </c>
      <c r="P736" s="45">
        <f t="shared" ca="1" si="505"/>
        <v>0</v>
      </c>
      <c r="Q736" s="45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6" s="45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6" s="45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6" s="45">
        <f t="shared" ca="1" si="507"/>
        <v>0</v>
      </c>
      <c r="U736" s="45">
        <f t="shared" ca="1" si="508"/>
        <v>0</v>
      </c>
    </row>
    <row r="737" spans="1:21" ht="18.75" x14ac:dyDescent="0.25">
      <c r="A737" s="126"/>
      <c r="B737" s="156"/>
      <c r="C737" s="156"/>
      <c r="D737" s="156"/>
      <c r="E737" s="215" t="s">
        <v>21</v>
      </c>
      <c r="F737" s="156"/>
      <c r="G737" s="39"/>
      <c r="H737" s="135" t="s">
        <v>14</v>
      </c>
      <c r="I737" s="133"/>
      <c r="J737" s="133"/>
      <c r="K737" s="134"/>
      <c r="L737" s="43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7" s="43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7" s="43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7" s="43">
        <f t="shared" ca="1" si="504"/>
        <v>0</v>
      </c>
      <c r="P737" s="43">
        <f t="shared" ca="1" si="505"/>
        <v>0</v>
      </c>
      <c r="Q737" s="43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7" s="43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7" s="43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7" s="43">
        <f t="shared" ca="1" si="507"/>
        <v>0</v>
      </c>
      <c r="U737" s="43">
        <f t="shared" ca="1" si="508"/>
        <v>0</v>
      </c>
    </row>
    <row r="738" spans="1:21" ht="19.5" x14ac:dyDescent="0.3">
      <c r="A738" s="136"/>
      <c r="B738" s="137"/>
      <c r="C738" s="178" t="s">
        <v>18</v>
      </c>
      <c r="D738" s="324" t="s">
        <v>38</v>
      </c>
      <c r="E738" s="209"/>
      <c r="F738" s="139"/>
      <c r="G738" s="140"/>
      <c r="H738" s="179"/>
      <c r="I738" s="41"/>
      <c r="J738" s="41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65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1" s="166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0)</f>
        <v>0</v>
      </c>
      <c r="K741" s="43">
        <f ca="1">IF(I741&gt;0,J741*100/I741,0)</f>
        <v>0</v>
      </c>
      <c r="L741" s="42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136"/>
      <c r="B742" s="137"/>
      <c r="C742" s="137"/>
      <c r="D742" s="137"/>
      <c r="E742" s="137"/>
      <c r="F742" s="422" t="s">
        <v>272</v>
      </c>
      <c r="G742" s="141"/>
      <c r="H742" s="131" t="s">
        <v>35</v>
      </c>
      <c r="I742" s="41"/>
      <c r="J742" s="166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0)</f>
        <v>0</v>
      </c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</row>
    <row r="743" spans="1:21" ht="18.75" x14ac:dyDescent="0.25">
      <c r="A743" s="136"/>
      <c r="B743" s="137"/>
      <c r="C743" s="137"/>
      <c r="D743" s="137"/>
      <c r="E743" s="137"/>
      <c r="F743" s="422" t="s">
        <v>273</v>
      </c>
      <c r="G743" s="141"/>
      <c r="H743" s="131" t="s">
        <v>35</v>
      </c>
      <c r="I743" s="165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3" s="166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24)</f>
        <v>24</v>
      </c>
      <c r="K743" s="43">
        <f ca="1">IF(I743&gt;0,J743*100/I743,0)</f>
        <v>2.1428571428571428</v>
      </c>
      <c r="L743" s="42"/>
      <c r="M743" s="42"/>
      <c r="N743" s="42"/>
      <c r="O743" s="42"/>
      <c r="P743" s="42"/>
      <c r="Q743" s="42"/>
      <c r="R743" s="42"/>
      <c r="S743" s="42"/>
      <c r="T743" s="42"/>
      <c r="U743" s="42"/>
    </row>
    <row r="744" spans="1:21" ht="18.75" x14ac:dyDescent="0.25">
      <c r="A744" s="136"/>
      <c r="B744" s="137"/>
      <c r="C744" s="137"/>
      <c r="D744" s="137"/>
      <c r="E744" s="422" t="s">
        <v>274</v>
      </c>
      <c r="F744" s="137"/>
      <c r="G744" s="141"/>
      <c r="H744" s="181"/>
      <c r="I744" s="41"/>
      <c r="J744" s="41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</row>
    <row r="745" spans="1:21" ht="18.75" x14ac:dyDescent="0.25">
      <c r="A745" s="136"/>
      <c r="B745" s="137"/>
      <c r="C745" s="137"/>
      <c r="D745" s="137"/>
      <c r="E745" s="137"/>
      <c r="F745" s="422" t="s">
        <v>271</v>
      </c>
      <c r="G745" s="141"/>
      <c r="H745" s="131" t="s">
        <v>46</v>
      </c>
      <c r="I745" s="165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5" s="166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0)</f>
        <v>0</v>
      </c>
      <c r="K745" s="43">
        <f ca="1">IF(I745&gt;0,J745*100/I745,0)</f>
        <v>0</v>
      </c>
      <c r="L745" s="42"/>
      <c r="M745" s="42"/>
      <c r="N745" s="42"/>
      <c r="O745" s="42"/>
      <c r="P745" s="42"/>
      <c r="Q745" s="42"/>
      <c r="R745" s="42"/>
      <c r="S745" s="42"/>
      <c r="T745" s="42"/>
      <c r="U745" s="42"/>
    </row>
    <row r="746" spans="1:21" ht="18.75" x14ac:dyDescent="0.25">
      <c r="A746" s="136"/>
      <c r="B746" s="137"/>
      <c r="C746" s="137"/>
      <c r="D746" s="137"/>
      <c r="E746" s="137"/>
      <c r="F746" s="422" t="s">
        <v>275</v>
      </c>
      <c r="G746" s="141"/>
      <c r="H746" s="131" t="s">
        <v>35</v>
      </c>
      <c r="I746" s="41"/>
      <c r="J746" s="166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0)</f>
        <v>0</v>
      </c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</row>
    <row r="747" spans="1:21" ht="18.75" x14ac:dyDescent="0.25">
      <c r="A747" s="136"/>
      <c r="B747" s="137"/>
      <c r="C747" s="137"/>
      <c r="D747" s="137"/>
      <c r="E747" s="137"/>
      <c r="F747" s="422" t="s">
        <v>276</v>
      </c>
      <c r="G747" s="141"/>
      <c r="H747" s="131" t="s">
        <v>35</v>
      </c>
      <c r="I747" s="165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7" s="166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31)</f>
        <v>31</v>
      </c>
      <c r="K747" s="43">
        <f ca="1">IF(I747&gt;0,J747*100/I747,0)</f>
        <v>11.071428571428571</v>
      </c>
      <c r="L747" s="42"/>
      <c r="M747" s="42"/>
      <c r="N747" s="42"/>
      <c r="O747" s="42"/>
      <c r="P747" s="42"/>
      <c r="Q747" s="42"/>
      <c r="R747" s="42"/>
      <c r="S747" s="42"/>
      <c r="T747" s="42"/>
      <c r="U747" s="42"/>
    </row>
    <row r="748" spans="1:21" ht="18.75" x14ac:dyDescent="0.25">
      <c r="A748" s="136"/>
      <c r="B748" s="137"/>
      <c r="C748" s="137"/>
      <c r="D748" s="137"/>
      <c r="E748" s="422" t="s">
        <v>277</v>
      </c>
      <c r="F748" s="143"/>
      <c r="G748" s="141"/>
      <c r="H748" s="181"/>
      <c r="I748" s="41"/>
      <c r="J748" s="41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</row>
    <row r="749" spans="1:21" ht="18.75" x14ac:dyDescent="0.25">
      <c r="A749" s="136"/>
      <c r="B749" s="137"/>
      <c r="C749" s="137"/>
      <c r="D749" s="137"/>
      <c r="E749" s="137"/>
      <c r="F749" s="422" t="s">
        <v>278</v>
      </c>
      <c r="G749" s="141"/>
      <c r="H749" s="131" t="s">
        <v>35</v>
      </c>
      <c r="I749" s="41"/>
      <c r="J749" s="166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0)</f>
        <v>0</v>
      </c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</row>
    <row r="750" spans="1:21" ht="18.75" x14ac:dyDescent="0.25">
      <c r="A750" s="136"/>
      <c r="B750" s="137"/>
      <c r="C750" s="137"/>
      <c r="D750" s="137"/>
      <c r="E750" s="137"/>
      <c r="F750" s="422" t="s">
        <v>279</v>
      </c>
      <c r="G750" s="141"/>
      <c r="H750" s="131" t="s">
        <v>35</v>
      </c>
      <c r="I750" s="165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50" s="166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1)</f>
        <v>1</v>
      </c>
      <c r="K750" s="43">
        <f ca="1">IF(I750&gt;0,J750*100/I750,0)</f>
        <v>2.7777777777777777</v>
      </c>
      <c r="L750" s="42"/>
      <c r="M750" s="42"/>
      <c r="N750" s="42"/>
      <c r="O750" s="42"/>
      <c r="P750" s="42"/>
      <c r="Q750" s="42"/>
      <c r="R750" s="42"/>
      <c r="S750" s="42"/>
      <c r="T750" s="42"/>
      <c r="U750" s="42"/>
    </row>
    <row r="751" spans="1:21" ht="19.5" x14ac:dyDescent="0.3">
      <c r="A751" s="136"/>
      <c r="B751" s="137"/>
      <c r="C751" s="137"/>
      <c r="D751" s="451" t="s">
        <v>50</v>
      </c>
      <c r="E751" s="137"/>
      <c r="F751" s="143"/>
      <c r="G751" s="141"/>
      <c r="H751" s="181"/>
      <c r="I751" s="41"/>
      <c r="J751" s="41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</row>
    <row r="752" spans="1:21" ht="18.75" x14ac:dyDescent="0.25">
      <c r="A752" s="136"/>
      <c r="B752" s="137"/>
      <c r="C752" s="137"/>
      <c r="D752" s="137"/>
      <c r="E752" s="422" t="s">
        <v>270</v>
      </c>
      <c r="F752" s="143"/>
      <c r="G752" s="141"/>
      <c r="H752" s="181"/>
      <c r="I752" s="41"/>
      <c r="J752" s="41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</row>
    <row r="753" spans="1:21" ht="18.75" x14ac:dyDescent="0.25">
      <c r="A753" s="136"/>
      <c r="B753" s="137"/>
      <c r="C753" s="137"/>
      <c r="D753" s="137"/>
      <c r="E753" s="137"/>
      <c r="F753" s="164" t="s">
        <v>280</v>
      </c>
      <c r="G753" s="141"/>
      <c r="H753" s="131" t="s">
        <v>46</v>
      </c>
      <c r="I753" s="165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1120)</f>
        <v>1120</v>
      </c>
      <c r="J753" s="166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0)</f>
        <v>0</v>
      </c>
      <c r="K753" s="43">
        <f ca="1">IF(I753&gt;0,J753*100/I753,0)</f>
        <v>0</v>
      </c>
      <c r="L753" s="42"/>
      <c r="M753" s="42"/>
      <c r="N753" s="42"/>
      <c r="O753" s="42"/>
      <c r="P753" s="42"/>
      <c r="Q753" s="42"/>
      <c r="R753" s="42"/>
      <c r="S753" s="42"/>
      <c r="T753" s="42"/>
      <c r="U753" s="42"/>
    </row>
    <row r="754" spans="1:21" ht="18.75" x14ac:dyDescent="0.25">
      <c r="A754" s="136"/>
      <c r="B754" s="137"/>
      <c r="C754" s="137"/>
      <c r="D754" s="137"/>
      <c r="E754" s="137"/>
      <c r="F754" s="164" t="s">
        <v>281</v>
      </c>
      <c r="G754" s="141"/>
      <c r="H754" s="131" t="s">
        <v>46</v>
      </c>
      <c r="I754" s="41"/>
      <c r="J754" s="166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0)</f>
        <v>0</v>
      </c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</row>
    <row r="755" spans="1:21" ht="18.75" x14ac:dyDescent="0.25">
      <c r="A755" s="136"/>
      <c r="B755" s="137"/>
      <c r="C755" s="137"/>
      <c r="D755" s="137"/>
      <c r="E755" s="422" t="s">
        <v>274</v>
      </c>
      <c r="F755" s="143"/>
      <c r="G755" s="141"/>
      <c r="H755" s="181"/>
      <c r="I755" s="41"/>
      <c r="J755" s="41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</row>
    <row r="756" spans="1:21" ht="18.75" x14ac:dyDescent="0.25">
      <c r="A756" s="136"/>
      <c r="B756" s="137"/>
      <c r="C756" s="137"/>
      <c r="D756" s="137"/>
      <c r="E756" s="143"/>
      <c r="F756" s="164" t="s">
        <v>282</v>
      </c>
      <c r="G756" s="141"/>
      <c r="H756" s="131" t="s">
        <v>46</v>
      </c>
      <c r="I756" s="165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280)</f>
        <v>280</v>
      </c>
      <c r="J756" s="166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0)</f>
        <v>0</v>
      </c>
      <c r="K756" s="43">
        <f ca="1">IF(I756&gt;0,J756*100/I756,0)</f>
        <v>0</v>
      </c>
      <c r="L756" s="42"/>
      <c r="M756" s="42"/>
      <c r="N756" s="42"/>
      <c r="O756" s="42"/>
      <c r="P756" s="42"/>
      <c r="Q756" s="42"/>
      <c r="R756" s="42"/>
      <c r="S756" s="42"/>
      <c r="T756" s="42"/>
      <c r="U756" s="42"/>
    </row>
    <row r="757" spans="1:21" ht="18.75" x14ac:dyDescent="0.25">
      <c r="A757" s="136"/>
      <c r="B757" s="137"/>
      <c r="C757" s="137"/>
      <c r="D757" s="137"/>
      <c r="E757" s="143"/>
      <c r="F757" s="164" t="s">
        <v>283</v>
      </c>
      <c r="G757" s="141"/>
      <c r="H757" s="131" t="s">
        <v>46</v>
      </c>
      <c r="I757" s="41"/>
      <c r="J757" s="166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0)</f>
        <v>0</v>
      </c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449">
        <f t="shared" ref="I758:J758" ca="1" si="517">I772</f>
        <v>1115</v>
      </c>
      <c r="J758" s="449">
        <f t="shared" ca="1" si="517"/>
        <v>103</v>
      </c>
      <c r="K758" s="436">
        <f t="shared" ref="K758:K759" ca="1" si="518">IF(I758&gt;0,J758*100/I758,0)</f>
        <v>9.2376681614349767</v>
      </c>
      <c r="L758" s="412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449">
        <f t="shared" ref="I759:J759" ca="1" si="519">I774</f>
        <v>3235</v>
      </c>
      <c r="J759" s="449">
        <f t="shared" ca="1" si="519"/>
        <v>197.75</v>
      </c>
      <c r="K759" s="436">
        <f t="shared" ca="1" si="518"/>
        <v>6.1128284389489957</v>
      </c>
      <c r="L759" s="412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14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130">
        <f t="shared" ref="L760:N760" ca="1" si="520">L761+L762</f>
        <v>0</v>
      </c>
      <c r="M760" s="130">
        <f t="shared" ca="1" si="520"/>
        <v>0</v>
      </c>
      <c r="N760" s="130">
        <f t="shared" ca="1" si="520"/>
        <v>0</v>
      </c>
      <c r="O760" s="130">
        <f t="shared" ref="O760:O768" ca="1" si="521">IF(L760&gt;0,N760*100/L760,0)</f>
        <v>0</v>
      </c>
      <c r="P760" s="130">
        <f t="shared" ref="P760:P768" ca="1" si="522">IF(M760&gt;0,N760*100/M760,0)</f>
        <v>0</v>
      </c>
      <c r="Q760" s="130">
        <f t="shared" ref="Q760:S760" ca="1" si="523">Q761+Q762</f>
        <v>8462790</v>
      </c>
      <c r="R760" s="130">
        <f t="shared" ca="1" si="523"/>
        <v>8462790</v>
      </c>
      <c r="S760" s="130">
        <f t="shared" ca="1" si="523"/>
        <v>145511.5</v>
      </c>
      <c r="T760" s="130">
        <f t="shared" ref="T760:T768" ca="1" si="524">IF(Q760&gt;0,S760*100/Q760,0)</f>
        <v>1.7194270447452908</v>
      </c>
      <c r="U760" s="130">
        <f t="shared" ref="U760:U768" ca="1" si="525">IF(R760&gt;0,S760*100/R760,0)</f>
        <v>1.7194270447452908</v>
      </c>
    </row>
    <row r="761" spans="1:21" ht="18.75" x14ac:dyDescent="0.25">
      <c r="A761" s="126"/>
      <c r="B761" s="156"/>
      <c r="C761" s="156"/>
      <c r="D761" s="143"/>
      <c r="E761" s="154" t="s">
        <v>158</v>
      </c>
      <c r="F761" s="37"/>
      <c r="G761" s="39"/>
      <c r="H761" s="157" t="s">
        <v>14</v>
      </c>
      <c r="I761" s="41"/>
      <c r="J761" s="41"/>
      <c r="K761" s="42"/>
      <c r="L761" s="45">
        <f t="shared" ref="L761:N761" ca="1" si="526">L764+L767</f>
        <v>0</v>
      </c>
      <c r="M761" s="45">
        <f t="shared" ca="1" si="526"/>
        <v>0</v>
      </c>
      <c r="N761" s="45">
        <f t="shared" ca="1" si="526"/>
        <v>0</v>
      </c>
      <c r="O761" s="45">
        <f t="shared" ca="1" si="521"/>
        <v>0</v>
      </c>
      <c r="P761" s="45">
        <f t="shared" ca="1" si="522"/>
        <v>0</v>
      </c>
      <c r="Q761" s="45">
        <f t="shared" ref="Q761:S761" ca="1" si="527">Q764+Q767</f>
        <v>0</v>
      </c>
      <c r="R761" s="45">
        <f t="shared" ca="1" si="527"/>
        <v>0</v>
      </c>
      <c r="S761" s="45">
        <f t="shared" ca="1" si="527"/>
        <v>0</v>
      </c>
      <c r="T761" s="45">
        <f t="shared" ca="1" si="524"/>
        <v>0</v>
      </c>
      <c r="U761" s="45">
        <f t="shared" ca="1" si="525"/>
        <v>0</v>
      </c>
    </row>
    <row r="762" spans="1:21" ht="18.75" x14ac:dyDescent="0.25">
      <c r="A762" s="126"/>
      <c r="B762" s="156"/>
      <c r="C762" s="175"/>
      <c r="D762" s="143"/>
      <c r="E762" s="44" t="s">
        <v>159</v>
      </c>
      <c r="F762" s="37"/>
      <c r="G762" s="39"/>
      <c r="H762" s="132" t="s">
        <v>14</v>
      </c>
      <c r="I762" s="41"/>
      <c r="J762" s="41"/>
      <c r="K762" s="42"/>
      <c r="L762" s="43">
        <f t="shared" ref="L762:N762" ca="1" si="528">L765+L768</f>
        <v>0</v>
      </c>
      <c r="M762" s="43">
        <f t="shared" ca="1" si="528"/>
        <v>0</v>
      </c>
      <c r="N762" s="43">
        <f t="shared" ca="1" si="528"/>
        <v>0</v>
      </c>
      <c r="O762" s="43">
        <f t="shared" ca="1" si="521"/>
        <v>0</v>
      </c>
      <c r="P762" s="43">
        <f t="shared" ca="1" si="522"/>
        <v>0</v>
      </c>
      <c r="Q762" s="43">
        <f t="shared" ref="Q762:S762" ca="1" si="529">Q765+Q768</f>
        <v>8462790</v>
      </c>
      <c r="R762" s="43">
        <f t="shared" ca="1" si="529"/>
        <v>8462790</v>
      </c>
      <c r="S762" s="43">
        <f t="shared" ca="1" si="529"/>
        <v>145511.5</v>
      </c>
      <c r="T762" s="43">
        <f t="shared" ca="1" si="524"/>
        <v>1.7194270447452908</v>
      </c>
      <c r="U762" s="43">
        <f t="shared" ca="1" si="525"/>
        <v>1.7194270447452908</v>
      </c>
    </row>
    <row r="763" spans="1:21" ht="18.75" x14ac:dyDescent="0.25">
      <c r="A763" s="126"/>
      <c r="B763" s="156"/>
      <c r="C763" s="175"/>
      <c r="D763" s="38" t="s">
        <v>22</v>
      </c>
      <c r="E763" s="37"/>
      <c r="F763" s="37"/>
      <c r="G763" s="39"/>
      <c r="H763" s="132" t="s">
        <v>14</v>
      </c>
      <c r="I763" s="133"/>
      <c r="J763" s="133"/>
      <c r="K763" s="134"/>
      <c r="L763" s="43">
        <f t="shared" ref="L763:N763" ca="1" si="530">L764+L765</f>
        <v>0</v>
      </c>
      <c r="M763" s="43">
        <f t="shared" ca="1" si="530"/>
        <v>0</v>
      </c>
      <c r="N763" s="43">
        <f t="shared" ca="1" si="530"/>
        <v>0</v>
      </c>
      <c r="O763" s="43">
        <f t="shared" ca="1" si="521"/>
        <v>0</v>
      </c>
      <c r="P763" s="43">
        <f t="shared" ca="1" si="522"/>
        <v>0</v>
      </c>
      <c r="Q763" s="43">
        <f t="shared" ref="Q763:S763" ca="1" si="531">Q764+Q765</f>
        <v>8462790</v>
      </c>
      <c r="R763" s="43">
        <f t="shared" ca="1" si="531"/>
        <v>8462790</v>
      </c>
      <c r="S763" s="43">
        <f t="shared" ca="1" si="531"/>
        <v>145511.5</v>
      </c>
      <c r="T763" s="43">
        <f t="shared" ca="1" si="524"/>
        <v>1.7194270447452908</v>
      </c>
      <c r="U763" s="43">
        <f t="shared" ca="1" si="525"/>
        <v>1.7194270447452908</v>
      </c>
    </row>
    <row r="764" spans="1:21" ht="18.75" x14ac:dyDescent="0.25">
      <c r="A764" s="126"/>
      <c r="B764" s="156"/>
      <c r="C764" s="175"/>
      <c r="D764" s="143"/>
      <c r="E764" s="154" t="s">
        <v>158</v>
      </c>
      <c r="F764" s="37"/>
      <c r="G764" s="39"/>
      <c r="H764" s="157" t="s">
        <v>14</v>
      </c>
      <c r="I764" s="41"/>
      <c r="J764" s="41"/>
      <c r="K764" s="42"/>
      <c r="L764" s="45">
        <f ca="1">IFERROR(__xludf.DUMMYFUNCTION("IMPORTRANGE(""https://docs.google.com/spreadsheets/d/1jTcq05yEiRwXcBMLjiodW9e4biSGYWAHcDj22rKWQ3s/edit?usp=sharing"",""กำแพงเพชร!L763"")+IMPORTRANGE(""https://docs.google.com/spreadsheets/d/1KS0zmDSZPk8KnTAbGN-Xk6MtX1YRZD0ldgdt20K4CRk/edit?usp=sharing"","&amp;"""เชียงราย!L763"")+IMPORTRANGE(""https://docs.google.com/spreadsheets/d/1rEDxBtusbi64tE0zunoIbsTVV16HeL0oJ6trHQeQ7K8/edit?usp=sharing"",""เชียงใหม่!L763"")+IMPORTRANGE(""https://docs.google.com/spreadsheets/d/1W6MnUbDkMi6xHnHko_XkFDO9kkuL6Wqyc-6OCDFjW9I/e"&amp;"dit?usp=sharing"",""ตาก!L763"")+IMPORTRANGE(""https://docs.google.com/spreadsheets/d/1IQAWArduLkta9LpYo4a_ULsyqdta6-6aDDiwpUnQT6c/edit?usp=sharing"",""นครสวรรค์!L763"")+IMPORTRANGE(""https://docs.google.com/spreadsheets/d/10s13Sk5xrltsiR-Zkbmk5DwIaDIKO8Xl"&amp;"bJAfqyT7Gvg/edit?usp=sharing"",""น่าน!L763"")+IMPORTRANGE(""https://docs.google.com/spreadsheets/d/1uu4nAn4Dbi1XREnLKKotUANlKXa7yCgRcgq8HEzQYW8/edit?usp=sharing"",""พะเยา!L763"")+IMPORTRANGE(""https://docs.google.com/spreadsheets/d/1xfJKIQxVOaPDIICqsflNlL"&amp;"u3JacTDk1FP9RH4phX7mI/edit?usp=sharing"",""พิจิตร!L763"")+IMPORTRANGE(""https://docs.google.com/spreadsheets/d/1JtRfZkJMHtEhI5RdRHxYUG4FIZHqKDpNyIuN7A1Q0_k/edit?usp=sharing"",""พิษณุโลก!L763"")+IMPORTRANGE(""https://docs.google.com/spreadsheets/d/1xlcVZWU"&amp;"Nn6SuWm0c307h32SiGkd9BaeQWlAktfD3KO8/edit?usp=sharing"",""เพชรบูรณ์!L763"")+IMPORTRANGE(""https://docs.google.com/spreadsheets/d/1lOVebEIsI9qjGXl6EX66luk7wiuP2tBaryw-wKvv4e0/edit?usp=sharing"",""แพร่!L763"")+IMPORTRANGE(""https://docs.google.com/spreadshe"&amp;"ets/d/1dQrvX0vEcN7Gu0fnZ0B5S90AeR19zth4XlExFBeExMY/edit?usp=sharing"",""แม่ฮ่องสอน!L763"")+IMPORTRANGE(""https://docs.google.com/spreadsheets/d/1DY4XTNNwjluuxqdfdn6qvOSlMRrZqUtmYcZR0ttFiG4/edit?usp=sharing"",""ลำปาง!L763"")+IMPORTRANGE(""https://docs.goog"&amp;"le.com/spreadsheets/d/1ICwG78r0OFT8biBlxnBF8r7she7gNSzOvJ958PWT09c/edit?usp=sharing"",""ลำพูน!L763"")+IMPORTRANGE(""https://docs.google.com/spreadsheets/d/1B0f2xJpZUC6Z0xXnqKlZtEPzsf6L84eP1r1Q15seqRM/edit?usp=sharing"",""สุโขทัย!L763"")+IMPORTRANGE(""http"&amp;"s://docs.google.com/spreadsheets/d/1v0b9pFQCsKUVExMei7AgY2yQkdeNQvtOssygGsXbiKo/edit?usp=sharing"",""อุตรดิตถ์!L763"")+IMPORTRANGE(""https://docs.google.com/spreadsheets/d/1UsNK1e-WWiCo2PvGqdNfdme4m17_Ezd3J69EeeiQPD0/edit?usp=sharing"",""อุทัยธานี!L763"")"),0)</f>
        <v>0</v>
      </c>
      <c r="M764" s="45">
        <f ca="1">IFERROR(__xludf.DUMMYFUNCTION("IMPORTRANGE(""https://docs.google.com/spreadsheets/d/1jTcq05yEiRwXcBMLjiodW9e4biSGYWAHcDj22rKWQ3s/edit?usp=sharing"",""กำแพงเพชร!M763"")+IMPORTRANGE(""https://docs.google.com/spreadsheets/d/1KS0zmDSZPk8KnTAbGN-Xk6MtX1YRZD0ldgdt20K4CRk/edit?usp=sharing"","&amp;"""เชียงราย!M763"")+IMPORTRANGE(""https://docs.google.com/spreadsheets/d/1rEDxBtusbi64tE0zunoIbsTVV16HeL0oJ6trHQeQ7K8/edit?usp=sharing"",""เชียงใหม่!M763"")+IMPORTRANGE(""https://docs.google.com/spreadsheets/d/1W6MnUbDkMi6xHnHko_XkFDO9kkuL6Wqyc-6OCDFjW9I/e"&amp;"dit?usp=sharing"",""ตาก!M763"")+IMPORTRANGE(""https://docs.google.com/spreadsheets/d/1IQAWArduLkta9LpYo4a_ULsyqdta6-6aDDiwpUnQT6c/edit?usp=sharing"",""นครสวรรค์!M763"")+IMPORTRANGE(""https://docs.google.com/spreadsheets/d/10s13Sk5xrltsiR-Zkbmk5DwIaDIKO8Xl"&amp;"bJAfqyT7Gvg/edit?usp=sharing"",""น่าน!M763"")+IMPORTRANGE(""https://docs.google.com/spreadsheets/d/1uu4nAn4Dbi1XREnLKKotUANlKXa7yCgRcgq8HEzQYW8/edit?usp=sharing"",""พะเยา!M763"")+IMPORTRANGE(""https://docs.google.com/spreadsheets/d/1xfJKIQxVOaPDIICqsflNlL"&amp;"u3JacTDk1FP9RH4phX7mI/edit?usp=sharing"",""พิจิตร!M763"")+IMPORTRANGE(""https://docs.google.com/spreadsheets/d/1JtRfZkJMHtEhI5RdRHxYUG4FIZHqKDpNyIuN7A1Q0_k/edit?usp=sharing"",""พิษณุโลก!M763"")+IMPORTRANGE(""https://docs.google.com/spreadsheets/d/1xlcVZWU"&amp;"Nn6SuWm0c307h32SiGkd9BaeQWlAktfD3KO8/edit?usp=sharing"",""เพชรบูรณ์!M763"")+IMPORTRANGE(""https://docs.google.com/spreadsheets/d/1lOVebEIsI9qjGXl6EX66luk7wiuP2tBaryw-wKvv4e0/edit?usp=sharing"",""แพร่!M763"")+IMPORTRANGE(""https://docs.google.com/spreadshe"&amp;"ets/d/1dQrvX0vEcN7Gu0fnZ0B5S90AeR19zth4XlExFBeExMY/edit?usp=sharing"",""แม่ฮ่องสอน!M763"")+IMPORTRANGE(""https://docs.google.com/spreadsheets/d/1DY4XTNNwjluuxqdfdn6qvOSlMRrZqUtmYcZR0ttFiG4/edit?usp=sharing"",""ลำปาง!M763"")+IMPORTRANGE(""https://docs.goog"&amp;"le.com/spreadsheets/d/1ICwG78r0OFT8biBlxnBF8r7she7gNSzOvJ958PWT09c/edit?usp=sharing"",""ลำพูน!M763"")+IMPORTRANGE(""https://docs.google.com/spreadsheets/d/1B0f2xJpZUC6Z0xXnqKlZtEPzsf6L84eP1r1Q15seqRM/edit?usp=sharing"",""สุโขทัย!M763"")+IMPORTRANGE(""http"&amp;"s://docs.google.com/spreadsheets/d/1v0b9pFQCsKUVExMei7AgY2yQkdeNQvtOssygGsXbiKo/edit?usp=sharing"",""อุตรดิตถ์!M763"")+IMPORTRANGE(""https://docs.google.com/spreadsheets/d/1UsNK1e-WWiCo2PvGqdNfdme4m17_Ezd3J69EeeiQPD0/edit?usp=sharing"",""อุทัยธานี!M763"")"),0)</f>
        <v>0</v>
      </c>
      <c r="N764" s="45">
        <f ca="1">IFERROR(__xludf.DUMMYFUNCTION("IMPORTRANGE(""https://docs.google.com/spreadsheets/d/1jTcq05yEiRwXcBMLjiodW9e4biSGYWAHcDj22rKWQ3s/edit?usp=sharing"",""กำแพงเพชร!N763"")+IMPORTRANGE(""https://docs.google.com/spreadsheets/d/1KS0zmDSZPk8KnTAbGN-Xk6MtX1YRZD0ldgdt20K4CRk/edit?usp=sharing"","&amp;"""เชียงราย!N763"")+IMPORTRANGE(""https://docs.google.com/spreadsheets/d/1rEDxBtusbi64tE0zunoIbsTVV16HeL0oJ6trHQeQ7K8/edit?usp=sharing"",""เชียงใหม่!N763"")+IMPORTRANGE(""https://docs.google.com/spreadsheets/d/1W6MnUbDkMi6xHnHko_XkFDO9kkuL6Wqyc-6OCDFjW9I/e"&amp;"dit?usp=sharing"",""ตาก!N763"")+IMPORTRANGE(""https://docs.google.com/spreadsheets/d/1IQAWArduLkta9LpYo4a_ULsyqdta6-6aDDiwpUnQT6c/edit?usp=sharing"",""นครสวรรค์!N763"")+IMPORTRANGE(""https://docs.google.com/spreadsheets/d/10s13Sk5xrltsiR-Zkbmk5DwIaDIKO8Xl"&amp;"bJAfqyT7Gvg/edit?usp=sharing"",""น่าน!N763"")+IMPORTRANGE(""https://docs.google.com/spreadsheets/d/1uu4nAn4Dbi1XREnLKKotUANlKXa7yCgRcgq8HEzQYW8/edit?usp=sharing"",""พะเยา!N763"")+IMPORTRANGE(""https://docs.google.com/spreadsheets/d/1xfJKIQxVOaPDIICqsflNlL"&amp;"u3JacTDk1FP9RH4phX7mI/edit?usp=sharing"",""พิจิตร!N763"")+IMPORTRANGE(""https://docs.google.com/spreadsheets/d/1JtRfZkJMHtEhI5RdRHxYUG4FIZHqKDpNyIuN7A1Q0_k/edit?usp=sharing"",""พิษณุโลก!N763"")+IMPORTRANGE(""https://docs.google.com/spreadsheets/d/1xlcVZWU"&amp;"Nn6SuWm0c307h32SiGkd9BaeQWlAktfD3KO8/edit?usp=sharing"",""เพชรบูรณ์!N763"")+IMPORTRANGE(""https://docs.google.com/spreadsheets/d/1lOVebEIsI9qjGXl6EX66luk7wiuP2tBaryw-wKvv4e0/edit?usp=sharing"",""แพร่!N763"")+IMPORTRANGE(""https://docs.google.com/spreadshe"&amp;"ets/d/1dQrvX0vEcN7Gu0fnZ0B5S90AeR19zth4XlExFBeExMY/edit?usp=sharing"",""แม่ฮ่องสอน!N763"")+IMPORTRANGE(""https://docs.google.com/spreadsheets/d/1DY4XTNNwjluuxqdfdn6qvOSlMRrZqUtmYcZR0ttFiG4/edit?usp=sharing"",""ลำปาง!N763"")+IMPORTRANGE(""https://docs.goog"&amp;"le.com/spreadsheets/d/1ICwG78r0OFT8biBlxnBF8r7she7gNSzOvJ958PWT09c/edit?usp=sharing"",""ลำพูน!N763"")+IMPORTRANGE(""https://docs.google.com/spreadsheets/d/1B0f2xJpZUC6Z0xXnqKlZtEPzsf6L84eP1r1Q15seqRM/edit?usp=sharing"",""สุโขทัย!N763"")+IMPORTRANGE(""http"&amp;"s://docs.google.com/spreadsheets/d/1v0b9pFQCsKUVExMei7AgY2yQkdeNQvtOssygGsXbiKo/edit?usp=sharing"",""อุตรดิตถ์!N763"")+IMPORTRANGE(""https://docs.google.com/spreadsheets/d/1UsNK1e-WWiCo2PvGqdNfdme4m17_Ezd3J69EeeiQPD0/edit?usp=sharing"",""อุทัยธานี!N763"")"),0)</f>
        <v>0</v>
      </c>
      <c r="O764" s="45">
        <f t="shared" ca="1" si="521"/>
        <v>0</v>
      </c>
      <c r="P764" s="45">
        <f t="shared" ca="1" si="522"/>
        <v>0</v>
      </c>
      <c r="Q764" s="45">
        <f ca="1">IFERROR(__xludf.DUMMYFUNCTION("IMPORTRANGE(""https://docs.google.com/spreadsheets/d/1jTcq05yEiRwXcBMLjiodW9e4biSGYWAHcDj22rKWQ3s/edit?usp=sharing"",""กำแพงเพชร!Q763"")+IMPORTRANGE(""https://docs.google.com/spreadsheets/d/1KS0zmDSZPk8KnTAbGN-Xk6MtX1YRZD0ldgdt20K4CRk/edit?usp=sharing"","&amp;"""เชียงราย!Q763"")+IMPORTRANGE(""https://docs.google.com/spreadsheets/d/1rEDxBtusbi64tE0zunoIbsTVV16HeL0oJ6trHQeQ7K8/edit?usp=sharing"",""เชียงใหม่!Q763"")+IMPORTRANGE(""https://docs.google.com/spreadsheets/d/1W6MnUbDkMi6xHnHko_XkFDO9kkuL6Wqyc-6OCDFjW9I/e"&amp;"dit?usp=sharing"",""ตาก!Q763"")+IMPORTRANGE(""https://docs.google.com/spreadsheets/d/1IQAWArduLkta9LpYo4a_ULsyqdta6-6aDDiwpUnQT6c/edit?usp=sharing"",""นครสวรรค์!Q763"")+IMPORTRANGE(""https://docs.google.com/spreadsheets/d/10s13Sk5xrltsiR-Zkbmk5DwIaDIKO8Xl"&amp;"bJAfqyT7Gvg/edit?usp=sharing"",""น่าน!Q763"")+IMPORTRANGE(""https://docs.google.com/spreadsheets/d/1uu4nAn4Dbi1XREnLKKotUANlKXa7yCgRcgq8HEzQYW8/edit?usp=sharing"",""พะเยา!Q763"")+IMPORTRANGE(""https://docs.google.com/spreadsheets/d/1xfJKIQxVOaPDIICqsflNlL"&amp;"u3JacTDk1FP9RH4phX7mI/edit?usp=sharing"",""พิจิตร!Q763"")+IMPORTRANGE(""https://docs.google.com/spreadsheets/d/1JtRfZkJMHtEhI5RdRHxYUG4FIZHqKDpNyIuN7A1Q0_k/edit?usp=sharing"",""พิษณุโลก!Q763"")+IMPORTRANGE(""https://docs.google.com/spreadsheets/d/1xlcVZWU"&amp;"Nn6SuWm0c307h32SiGkd9BaeQWlAktfD3KO8/edit?usp=sharing"",""เพชรบูรณ์!Q763"")+IMPORTRANGE(""https://docs.google.com/spreadsheets/d/1lOVebEIsI9qjGXl6EX66luk7wiuP2tBaryw-wKvv4e0/edit?usp=sharing"",""แพร่!Q763"")+IMPORTRANGE(""https://docs.google.com/spreadshe"&amp;"ets/d/1dQrvX0vEcN7Gu0fnZ0B5S90AeR19zth4XlExFBeExMY/edit?usp=sharing"",""แม่ฮ่องสอน!Q763"")+IMPORTRANGE(""https://docs.google.com/spreadsheets/d/1DY4XTNNwjluuxqdfdn6qvOSlMRrZqUtmYcZR0ttFiG4/edit?usp=sharing"",""ลำปาง!Q763"")+IMPORTRANGE(""https://docs.goog"&amp;"le.com/spreadsheets/d/1ICwG78r0OFT8biBlxnBF8r7she7gNSzOvJ958PWT09c/edit?usp=sharing"",""ลำพูน!Q763"")+IMPORTRANGE(""https://docs.google.com/spreadsheets/d/1B0f2xJpZUC6Z0xXnqKlZtEPzsf6L84eP1r1Q15seqRM/edit?usp=sharing"",""สุโขทัย!Q763"")+IMPORTRANGE(""http"&amp;"s://docs.google.com/spreadsheets/d/1v0b9pFQCsKUVExMei7AgY2yQkdeNQvtOssygGsXbiKo/edit?usp=sharing"",""อุตรดิตถ์!Q763"")+IMPORTRANGE(""https://docs.google.com/spreadsheets/d/1UsNK1e-WWiCo2PvGqdNfdme4m17_Ezd3J69EeeiQPD0/edit?usp=sharing"",""อุทัยธานี!Q763"")"),0)</f>
        <v>0</v>
      </c>
      <c r="R764" s="45">
        <f ca="1">IFERROR(__xludf.DUMMYFUNCTION("IMPORTRANGE(""https://docs.google.com/spreadsheets/d/1jTcq05yEiRwXcBMLjiodW9e4biSGYWAHcDj22rKWQ3s/edit?usp=sharing"",""กำแพงเพชร!R763"")+IMPORTRANGE(""https://docs.google.com/spreadsheets/d/1KS0zmDSZPk8KnTAbGN-Xk6MtX1YRZD0ldgdt20K4CRk/edit?usp=sharing"","&amp;"""เชียงราย!R763"")+IMPORTRANGE(""https://docs.google.com/spreadsheets/d/1rEDxBtusbi64tE0zunoIbsTVV16HeL0oJ6trHQeQ7K8/edit?usp=sharing"",""เชียงใหม่!R763"")+IMPORTRANGE(""https://docs.google.com/spreadsheets/d/1W6MnUbDkMi6xHnHko_XkFDO9kkuL6Wqyc-6OCDFjW9I/e"&amp;"dit?usp=sharing"",""ตาก!R763"")+IMPORTRANGE(""https://docs.google.com/spreadsheets/d/1IQAWArduLkta9LpYo4a_ULsyqdta6-6aDDiwpUnQT6c/edit?usp=sharing"",""นครสวรรค์!R763"")+IMPORTRANGE(""https://docs.google.com/spreadsheets/d/10s13Sk5xrltsiR-Zkbmk5DwIaDIKO8Xl"&amp;"bJAfqyT7Gvg/edit?usp=sharing"",""น่าน!R763"")+IMPORTRANGE(""https://docs.google.com/spreadsheets/d/1uu4nAn4Dbi1XREnLKKotUANlKXa7yCgRcgq8HEzQYW8/edit?usp=sharing"",""พะเยา!R763"")+IMPORTRANGE(""https://docs.google.com/spreadsheets/d/1xfJKIQxVOaPDIICqsflNlL"&amp;"u3JacTDk1FP9RH4phX7mI/edit?usp=sharing"",""พิจิตร!R763"")+IMPORTRANGE(""https://docs.google.com/spreadsheets/d/1JtRfZkJMHtEhI5RdRHxYUG4FIZHqKDpNyIuN7A1Q0_k/edit?usp=sharing"",""พิษณุโลก!R763"")+IMPORTRANGE(""https://docs.google.com/spreadsheets/d/1xlcVZWU"&amp;"Nn6SuWm0c307h32SiGkd9BaeQWlAktfD3KO8/edit?usp=sharing"",""เพชรบูรณ์!R763"")+IMPORTRANGE(""https://docs.google.com/spreadsheets/d/1lOVebEIsI9qjGXl6EX66luk7wiuP2tBaryw-wKvv4e0/edit?usp=sharing"",""แพร่!R763"")+IMPORTRANGE(""https://docs.google.com/spreadshe"&amp;"ets/d/1dQrvX0vEcN7Gu0fnZ0B5S90AeR19zth4XlExFBeExMY/edit?usp=sharing"",""แม่ฮ่องสอน!R763"")+IMPORTRANGE(""https://docs.google.com/spreadsheets/d/1DY4XTNNwjluuxqdfdn6qvOSlMRrZqUtmYcZR0ttFiG4/edit?usp=sharing"",""ลำปาง!R763"")+IMPORTRANGE(""https://docs.goog"&amp;"le.com/spreadsheets/d/1ICwG78r0OFT8biBlxnBF8r7she7gNSzOvJ958PWT09c/edit?usp=sharing"",""ลำพูน!R763"")+IMPORTRANGE(""https://docs.google.com/spreadsheets/d/1B0f2xJpZUC6Z0xXnqKlZtEPzsf6L84eP1r1Q15seqRM/edit?usp=sharing"",""สุโขทัย!R763"")+IMPORTRANGE(""http"&amp;"s://docs.google.com/spreadsheets/d/1v0b9pFQCsKUVExMei7AgY2yQkdeNQvtOssygGsXbiKo/edit?usp=sharing"",""อุตรดิตถ์!R763"")+IMPORTRANGE(""https://docs.google.com/spreadsheets/d/1UsNK1e-WWiCo2PvGqdNfdme4m17_Ezd3J69EeeiQPD0/edit?usp=sharing"",""อุทัยธานี!R763"")"),0)</f>
        <v>0</v>
      </c>
      <c r="S764" s="45">
        <f ca="1">IFERROR(__xludf.DUMMYFUNCTION("IMPORTRANGE(""https://docs.google.com/spreadsheets/d/1jTcq05yEiRwXcBMLjiodW9e4biSGYWAHcDj22rKWQ3s/edit?usp=sharing"",""กำแพงเพชร!S763"")+IMPORTRANGE(""https://docs.google.com/spreadsheets/d/1KS0zmDSZPk8KnTAbGN-Xk6MtX1YRZD0ldgdt20K4CRk/edit?usp=sharing"","&amp;"""เชียงราย!S763"")+IMPORTRANGE(""https://docs.google.com/spreadsheets/d/1rEDxBtusbi64tE0zunoIbsTVV16HeL0oJ6trHQeQ7K8/edit?usp=sharing"",""เชียงใหม่!S763"")+IMPORTRANGE(""https://docs.google.com/spreadsheets/d/1W6MnUbDkMi6xHnHko_XkFDO9kkuL6Wqyc-6OCDFjW9I/e"&amp;"dit?usp=sharing"",""ตาก!S763"")+IMPORTRANGE(""https://docs.google.com/spreadsheets/d/1IQAWArduLkta9LpYo4a_ULsyqdta6-6aDDiwpUnQT6c/edit?usp=sharing"",""นครสวรรค์!S763"")+IMPORTRANGE(""https://docs.google.com/spreadsheets/d/10s13Sk5xrltsiR-Zkbmk5DwIaDIKO8Xl"&amp;"bJAfqyT7Gvg/edit?usp=sharing"",""น่าน!S763"")+IMPORTRANGE(""https://docs.google.com/spreadsheets/d/1uu4nAn4Dbi1XREnLKKotUANlKXa7yCgRcgq8HEzQYW8/edit?usp=sharing"",""พะเยา!S763"")+IMPORTRANGE(""https://docs.google.com/spreadsheets/d/1xfJKIQxVOaPDIICqsflNlL"&amp;"u3JacTDk1FP9RH4phX7mI/edit?usp=sharing"",""พิจิตร!S763"")+IMPORTRANGE(""https://docs.google.com/spreadsheets/d/1JtRfZkJMHtEhI5RdRHxYUG4FIZHqKDpNyIuN7A1Q0_k/edit?usp=sharing"",""พิษณุโลก!S763"")+IMPORTRANGE(""https://docs.google.com/spreadsheets/d/1xlcVZWU"&amp;"Nn6SuWm0c307h32SiGkd9BaeQWlAktfD3KO8/edit?usp=sharing"",""เพชรบูรณ์!S763"")+IMPORTRANGE(""https://docs.google.com/spreadsheets/d/1lOVebEIsI9qjGXl6EX66luk7wiuP2tBaryw-wKvv4e0/edit?usp=sharing"",""แพร่!S763"")+IMPORTRANGE(""https://docs.google.com/spreadshe"&amp;"ets/d/1dQrvX0vEcN7Gu0fnZ0B5S90AeR19zth4XlExFBeExMY/edit?usp=sharing"",""แม่ฮ่องสอน!S763"")+IMPORTRANGE(""https://docs.google.com/spreadsheets/d/1DY4XTNNwjluuxqdfdn6qvOSlMRrZqUtmYcZR0ttFiG4/edit?usp=sharing"",""ลำปาง!S763"")+IMPORTRANGE(""https://docs.goog"&amp;"le.com/spreadsheets/d/1ICwG78r0OFT8biBlxnBF8r7she7gNSzOvJ958PWT09c/edit?usp=sharing"",""ลำพูน!S763"")+IMPORTRANGE(""https://docs.google.com/spreadsheets/d/1B0f2xJpZUC6Z0xXnqKlZtEPzsf6L84eP1r1Q15seqRM/edit?usp=sharing"",""สุโขทัย!S763"")+IMPORTRANGE(""http"&amp;"s://docs.google.com/spreadsheets/d/1v0b9pFQCsKUVExMei7AgY2yQkdeNQvtOssygGsXbiKo/edit?usp=sharing"",""อุตรดิตถ์!S763"")+IMPORTRANGE(""https://docs.google.com/spreadsheets/d/1UsNK1e-WWiCo2PvGqdNfdme4m17_Ezd3J69EeeiQPD0/edit?usp=sharing"",""อุทัยธานี!S763"")"),0)</f>
        <v>0</v>
      </c>
      <c r="T764" s="45">
        <f t="shared" ca="1" si="524"/>
        <v>0</v>
      </c>
      <c r="U764" s="45">
        <f t="shared" ca="1" si="525"/>
        <v>0</v>
      </c>
    </row>
    <row r="765" spans="1:21" ht="18.75" x14ac:dyDescent="0.25">
      <c r="A765" s="126"/>
      <c r="B765" s="156"/>
      <c r="C765" s="175"/>
      <c r="D765" s="143"/>
      <c r="E765" s="44" t="s">
        <v>159</v>
      </c>
      <c r="F765" s="37"/>
      <c r="G765" s="39"/>
      <c r="H765" s="132" t="s">
        <v>14</v>
      </c>
      <c r="I765" s="41"/>
      <c r="J765" s="41"/>
      <c r="K765" s="42"/>
      <c r="L765" s="43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5" s="43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5" s="43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5" s="43">
        <f t="shared" ca="1" si="521"/>
        <v>0</v>
      </c>
      <c r="P765" s="43">
        <f t="shared" ca="1" si="522"/>
        <v>0</v>
      </c>
      <c r="Q765" s="43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8462790)</f>
        <v>8462790</v>
      </c>
      <c r="R765" s="43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8462790)</f>
        <v>8462790</v>
      </c>
      <c r="S765" s="43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145511.5)</f>
        <v>145511.5</v>
      </c>
      <c r="T765" s="43">
        <f t="shared" ca="1" si="524"/>
        <v>1.7194270447452908</v>
      </c>
      <c r="U765" s="43">
        <f t="shared" ca="1" si="525"/>
        <v>1.7194270447452908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37"/>
      <c r="G766" s="39"/>
      <c r="H766" s="135" t="s">
        <v>14</v>
      </c>
      <c r="I766" s="133"/>
      <c r="J766" s="133"/>
      <c r="K766" s="134"/>
      <c r="L766" s="43">
        <f t="shared" ref="L766:N766" ca="1" si="532">L767+L768</f>
        <v>0</v>
      </c>
      <c r="M766" s="43">
        <f t="shared" ca="1" si="532"/>
        <v>0</v>
      </c>
      <c r="N766" s="43">
        <f t="shared" ca="1" si="532"/>
        <v>0</v>
      </c>
      <c r="O766" s="43">
        <f t="shared" ca="1" si="521"/>
        <v>0</v>
      </c>
      <c r="P766" s="43">
        <f t="shared" ca="1" si="522"/>
        <v>0</v>
      </c>
      <c r="Q766" s="43">
        <f t="shared" ref="Q766:S766" ca="1" si="533">Q767+Q768</f>
        <v>0</v>
      </c>
      <c r="R766" s="43">
        <f t="shared" ca="1" si="533"/>
        <v>0</v>
      </c>
      <c r="S766" s="43">
        <f t="shared" ca="1" si="533"/>
        <v>0</v>
      </c>
      <c r="T766" s="43">
        <f t="shared" ca="1" si="524"/>
        <v>0</v>
      </c>
      <c r="U766" s="43">
        <f t="shared" ca="1" si="525"/>
        <v>0</v>
      </c>
    </row>
    <row r="767" spans="1:21" ht="18.75" x14ac:dyDescent="0.25">
      <c r="A767" s="126"/>
      <c r="B767" s="156"/>
      <c r="C767" s="156"/>
      <c r="D767" s="156"/>
      <c r="E767" s="325" t="s">
        <v>20</v>
      </c>
      <c r="F767" s="37"/>
      <c r="G767" s="39"/>
      <c r="H767" s="157" t="s">
        <v>14</v>
      </c>
      <c r="I767" s="133"/>
      <c r="J767" s="133"/>
      <c r="K767" s="134"/>
      <c r="L767" s="45">
        <f ca="1">IFERROR(__xludf.DUMMYFUNCTION("IMPORTRANGE(""https://docs.google.com/spreadsheets/d/1jTcq05yEiRwXcBMLjiodW9e4biSGYWAHcDj22rKWQ3s/edit?usp=sharing"",""กำแพงเพชร!L766"")+IMPORTRANGE(""https://docs.google.com/spreadsheets/d/1KS0zmDSZPk8KnTAbGN-Xk6MtX1YRZD0ldgdt20K4CRk/edit?usp=sharing"","&amp;"""เชียงราย!L766"")+IMPORTRANGE(""https://docs.google.com/spreadsheets/d/1rEDxBtusbi64tE0zunoIbsTVV16HeL0oJ6trHQeQ7K8/edit?usp=sharing"",""เชียงใหม่!L766"")+IMPORTRANGE(""https://docs.google.com/spreadsheets/d/1W6MnUbDkMi6xHnHko_XkFDO9kkuL6Wqyc-6OCDFjW9I/e"&amp;"dit?usp=sharing"",""ตาก!L766"")+IMPORTRANGE(""https://docs.google.com/spreadsheets/d/1IQAWArduLkta9LpYo4a_ULsyqdta6-6aDDiwpUnQT6c/edit?usp=sharing"",""นครสวรรค์!L766"")+IMPORTRANGE(""https://docs.google.com/spreadsheets/d/10s13Sk5xrltsiR-Zkbmk5DwIaDIKO8Xl"&amp;"bJAfqyT7Gvg/edit?usp=sharing"",""น่าน!L766"")+IMPORTRANGE(""https://docs.google.com/spreadsheets/d/1uu4nAn4Dbi1XREnLKKotUANlKXa7yCgRcgq8HEzQYW8/edit?usp=sharing"",""พะเยา!L766"")+IMPORTRANGE(""https://docs.google.com/spreadsheets/d/1xfJKIQxVOaPDIICqsflNlL"&amp;"u3JacTDk1FP9RH4phX7mI/edit?usp=sharing"",""พิจิตร!L766"")+IMPORTRANGE(""https://docs.google.com/spreadsheets/d/1JtRfZkJMHtEhI5RdRHxYUG4FIZHqKDpNyIuN7A1Q0_k/edit?usp=sharing"",""พิษณุโลก!L766"")+IMPORTRANGE(""https://docs.google.com/spreadsheets/d/1xlcVZWU"&amp;"Nn6SuWm0c307h32SiGkd9BaeQWlAktfD3KO8/edit?usp=sharing"",""เพชรบูรณ์!L766"")+IMPORTRANGE(""https://docs.google.com/spreadsheets/d/1lOVebEIsI9qjGXl6EX66luk7wiuP2tBaryw-wKvv4e0/edit?usp=sharing"",""แพร่!L766"")+IMPORTRANGE(""https://docs.google.com/spreadshe"&amp;"ets/d/1dQrvX0vEcN7Gu0fnZ0B5S90AeR19zth4XlExFBeExMY/edit?usp=sharing"",""แม่ฮ่องสอน!L766"")+IMPORTRANGE(""https://docs.google.com/spreadsheets/d/1DY4XTNNwjluuxqdfdn6qvOSlMRrZqUtmYcZR0ttFiG4/edit?usp=sharing"",""ลำปาง!L766"")+IMPORTRANGE(""https://docs.goog"&amp;"le.com/spreadsheets/d/1ICwG78r0OFT8biBlxnBF8r7she7gNSzOvJ958PWT09c/edit?usp=sharing"",""ลำพูน!L766"")+IMPORTRANGE(""https://docs.google.com/spreadsheets/d/1B0f2xJpZUC6Z0xXnqKlZtEPzsf6L84eP1r1Q15seqRM/edit?usp=sharing"",""สุโขทัย!L766"")+IMPORTRANGE(""http"&amp;"s://docs.google.com/spreadsheets/d/1v0b9pFQCsKUVExMei7AgY2yQkdeNQvtOssygGsXbiKo/edit?usp=sharing"",""อุตรดิตถ์!L766"")+IMPORTRANGE(""https://docs.google.com/spreadsheets/d/1UsNK1e-WWiCo2PvGqdNfdme4m17_Ezd3J69EeeiQPD0/edit?usp=sharing"",""อุทัยธานี!L766"")"),0)</f>
        <v>0</v>
      </c>
      <c r="M767" s="45">
        <f ca="1">IFERROR(__xludf.DUMMYFUNCTION("IMPORTRANGE(""https://docs.google.com/spreadsheets/d/1jTcq05yEiRwXcBMLjiodW9e4biSGYWAHcDj22rKWQ3s/edit?usp=sharing"",""กำแพงเพชร!M766"")+IMPORTRANGE(""https://docs.google.com/spreadsheets/d/1KS0zmDSZPk8KnTAbGN-Xk6MtX1YRZD0ldgdt20K4CRk/edit?usp=sharing"","&amp;"""เชียงราย!M766"")+IMPORTRANGE(""https://docs.google.com/spreadsheets/d/1rEDxBtusbi64tE0zunoIbsTVV16HeL0oJ6trHQeQ7K8/edit?usp=sharing"",""เชียงใหม่!M766"")+IMPORTRANGE(""https://docs.google.com/spreadsheets/d/1W6MnUbDkMi6xHnHko_XkFDO9kkuL6Wqyc-6OCDFjW9I/e"&amp;"dit?usp=sharing"",""ตาก!M766"")+IMPORTRANGE(""https://docs.google.com/spreadsheets/d/1IQAWArduLkta9LpYo4a_ULsyqdta6-6aDDiwpUnQT6c/edit?usp=sharing"",""นครสวรรค์!M766"")+IMPORTRANGE(""https://docs.google.com/spreadsheets/d/10s13Sk5xrltsiR-Zkbmk5DwIaDIKO8Xl"&amp;"bJAfqyT7Gvg/edit?usp=sharing"",""น่าน!M766"")+IMPORTRANGE(""https://docs.google.com/spreadsheets/d/1uu4nAn4Dbi1XREnLKKotUANlKXa7yCgRcgq8HEzQYW8/edit?usp=sharing"",""พะเยา!M766"")+IMPORTRANGE(""https://docs.google.com/spreadsheets/d/1xfJKIQxVOaPDIICqsflNlL"&amp;"u3JacTDk1FP9RH4phX7mI/edit?usp=sharing"",""พิจิตร!M766"")+IMPORTRANGE(""https://docs.google.com/spreadsheets/d/1JtRfZkJMHtEhI5RdRHxYUG4FIZHqKDpNyIuN7A1Q0_k/edit?usp=sharing"",""พิษณุโลก!M766"")+IMPORTRANGE(""https://docs.google.com/spreadsheets/d/1xlcVZWU"&amp;"Nn6SuWm0c307h32SiGkd9BaeQWlAktfD3KO8/edit?usp=sharing"",""เพชรบูรณ์!M766"")+IMPORTRANGE(""https://docs.google.com/spreadsheets/d/1lOVebEIsI9qjGXl6EX66luk7wiuP2tBaryw-wKvv4e0/edit?usp=sharing"",""แพร่!M766"")+IMPORTRANGE(""https://docs.google.com/spreadshe"&amp;"ets/d/1dQrvX0vEcN7Gu0fnZ0B5S90AeR19zth4XlExFBeExMY/edit?usp=sharing"",""แม่ฮ่องสอน!M766"")+IMPORTRANGE(""https://docs.google.com/spreadsheets/d/1DY4XTNNwjluuxqdfdn6qvOSlMRrZqUtmYcZR0ttFiG4/edit?usp=sharing"",""ลำปาง!M766"")+IMPORTRANGE(""https://docs.goog"&amp;"le.com/spreadsheets/d/1ICwG78r0OFT8biBlxnBF8r7she7gNSzOvJ958PWT09c/edit?usp=sharing"",""ลำพูน!M766"")+IMPORTRANGE(""https://docs.google.com/spreadsheets/d/1B0f2xJpZUC6Z0xXnqKlZtEPzsf6L84eP1r1Q15seqRM/edit?usp=sharing"",""สุโขทัย!M766"")+IMPORTRANGE(""http"&amp;"s://docs.google.com/spreadsheets/d/1v0b9pFQCsKUVExMei7AgY2yQkdeNQvtOssygGsXbiKo/edit?usp=sharing"",""อุตรดิตถ์!M766"")+IMPORTRANGE(""https://docs.google.com/spreadsheets/d/1UsNK1e-WWiCo2PvGqdNfdme4m17_Ezd3J69EeeiQPD0/edit?usp=sharing"",""อุทัยธานี!M766"")"),0)</f>
        <v>0</v>
      </c>
      <c r="N767" s="45">
        <f ca="1">IFERROR(__xludf.DUMMYFUNCTION("IMPORTRANGE(""https://docs.google.com/spreadsheets/d/1jTcq05yEiRwXcBMLjiodW9e4biSGYWAHcDj22rKWQ3s/edit?usp=sharing"",""กำแพงเพชร!N766"")+IMPORTRANGE(""https://docs.google.com/spreadsheets/d/1KS0zmDSZPk8KnTAbGN-Xk6MtX1YRZD0ldgdt20K4CRk/edit?usp=sharing"","&amp;"""เชียงราย!N766"")+IMPORTRANGE(""https://docs.google.com/spreadsheets/d/1rEDxBtusbi64tE0zunoIbsTVV16HeL0oJ6trHQeQ7K8/edit?usp=sharing"",""เชียงใหม่!N766"")+IMPORTRANGE(""https://docs.google.com/spreadsheets/d/1W6MnUbDkMi6xHnHko_XkFDO9kkuL6Wqyc-6OCDFjW9I/e"&amp;"dit?usp=sharing"",""ตาก!N766"")+IMPORTRANGE(""https://docs.google.com/spreadsheets/d/1IQAWArduLkta9LpYo4a_ULsyqdta6-6aDDiwpUnQT6c/edit?usp=sharing"",""นครสวรรค์!N766"")+IMPORTRANGE(""https://docs.google.com/spreadsheets/d/10s13Sk5xrltsiR-Zkbmk5DwIaDIKO8Xl"&amp;"bJAfqyT7Gvg/edit?usp=sharing"",""น่าน!N766"")+IMPORTRANGE(""https://docs.google.com/spreadsheets/d/1uu4nAn4Dbi1XREnLKKotUANlKXa7yCgRcgq8HEzQYW8/edit?usp=sharing"",""พะเยา!N766"")+IMPORTRANGE(""https://docs.google.com/spreadsheets/d/1xfJKIQxVOaPDIICqsflNlL"&amp;"u3JacTDk1FP9RH4phX7mI/edit?usp=sharing"",""พิจิตร!N766"")+IMPORTRANGE(""https://docs.google.com/spreadsheets/d/1JtRfZkJMHtEhI5RdRHxYUG4FIZHqKDpNyIuN7A1Q0_k/edit?usp=sharing"",""พิษณุโลก!N766"")+IMPORTRANGE(""https://docs.google.com/spreadsheets/d/1xlcVZWU"&amp;"Nn6SuWm0c307h32SiGkd9BaeQWlAktfD3KO8/edit?usp=sharing"",""เพชรบูรณ์!N766"")+IMPORTRANGE(""https://docs.google.com/spreadsheets/d/1lOVebEIsI9qjGXl6EX66luk7wiuP2tBaryw-wKvv4e0/edit?usp=sharing"",""แพร่!N766"")+IMPORTRANGE(""https://docs.google.com/spreadshe"&amp;"ets/d/1dQrvX0vEcN7Gu0fnZ0B5S90AeR19zth4XlExFBeExMY/edit?usp=sharing"",""แม่ฮ่องสอน!N766"")+IMPORTRANGE(""https://docs.google.com/spreadsheets/d/1DY4XTNNwjluuxqdfdn6qvOSlMRrZqUtmYcZR0ttFiG4/edit?usp=sharing"",""ลำปาง!N766"")+IMPORTRANGE(""https://docs.goog"&amp;"le.com/spreadsheets/d/1ICwG78r0OFT8biBlxnBF8r7she7gNSzOvJ958PWT09c/edit?usp=sharing"",""ลำพูน!N766"")+IMPORTRANGE(""https://docs.google.com/spreadsheets/d/1B0f2xJpZUC6Z0xXnqKlZtEPzsf6L84eP1r1Q15seqRM/edit?usp=sharing"",""สุโขทัย!N766"")+IMPORTRANGE(""http"&amp;"s://docs.google.com/spreadsheets/d/1v0b9pFQCsKUVExMei7AgY2yQkdeNQvtOssygGsXbiKo/edit?usp=sharing"",""อุตรดิตถ์!N766"")+IMPORTRANGE(""https://docs.google.com/spreadsheets/d/1UsNK1e-WWiCo2PvGqdNfdme4m17_Ezd3J69EeeiQPD0/edit?usp=sharing"",""อุทัยธานี!N766"")"),0)</f>
        <v>0</v>
      </c>
      <c r="O767" s="45">
        <f t="shared" ca="1" si="521"/>
        <v>0</v>
      </c>
      <c r="P767" s="45">
        <f t="shared" ca="1" si="522"/>
        <v>0</v>
      </c>
      <c r="Q767" s="45">
        <f ca="1">IFERROR(__xludf.DUMMYFUNCTION("IMPORTRANGE(""https://docs.google.com/spreadsheets/d/1jTcq05yEiRwXcBMLjiodW9e4biSGYWAHcDj22rKWQ3s/edit?usp=sharing"",""กำแพงเพชร!Q766"")+IMPORTRANGE(""https://docs.google.com/spreadsheets/d/1KS0zmDSZPk8KnTAbGN-Xk6MtX1YRZD0ldgdt20K4CRk/edit?usp=sharing"","&amp;"""เชียงราย!Q766"")+IMPORTRANGE(""https://docs.google.com/spreadsheets/d/1rEDxBtusbi64tE0zunoIbsTVV16HeL0oJ6trHQeQ7K8/edit?usp=sharing"",""เชียงใหม่!Q766"")+IMPORTRANGE(""https://docs.google.com/spreadsheets/d/1W6MnUbDkMi6xHnHko_XkFDO9kkuL6Wqyc-6OCDFjW9I/e"&amp;"dit?usp=sharing"",""ตาก!Q766"")+IMPORTRANGE(""https://docs.google.com/spreadsheets/d/1IQAWArduLkta9LpYo4a_ULsyqdta6-6aDDiwpUnQT6c/edit?usp=sharing"",""นครสวรรค์!Q766"")+IMPORTRANGE(""https://docs.google.com/spreadsheets/d/10s13Sk5xrltsiR-Zkbmk5DwIaDIKO8Xl"&amp;"bJAfqyT7Gvg/edit?usp=sharing"",""น่าน!Q766"")+IMPORTRANGE(""https://docs.google.com/spreadsheets/d/1uu4nAn4Dbi1XREnLKKotUANlKXa7yCgRcgq8HEzQYW8/edit?usp=sharing"",""พะเยา!Q766"")+IMPORTRANGE(""https://docs.google.com/spreadsheets/d/1xfJKIQxVOaPDIICqsflNlL"&amp;"u3JacTDk1FP9RH4phX7mI/edit?usp=sharing"",""พิจิตร!Q766"")+IMPORTRANGE(""https://docs.google.com/spreadsheets/d/1JtRfZkJMHtEhI5RdRHxYUG4FIZHqKDpNyIuN7A1Q0_k/edit?usp=sharing"",""พิษณุโลก!Q766"")+IMPORTRANGE(""https://docs.google.com/spreadsheets/d/1xlcVZWU"&amp;"Nn6SuWm0c307h32SiGkd9BaeQWlAktfD3KO8/edit?usp=sharing"",""เพชรบูรณ์!Q766"")+IMPORTRANGE(""https://docs.google.com/spreadsheets/d/1lOVebEIsI9qjGXl6EX66luk7wiuP2tBaryw-wKvv4e0/edit?usp=sharing"",""แพร่!Q766"")+IMPORTRANGE(""https://docs.google.com/spreadshe"&amp;"ets/d/1dQrvX0vEcN7Gu0fnZ0B5S90AeR19zth4XlExFBeExMY/edit?usp=sharing"",""แม่ฮ่องสอน!Q766"")+IMPORTRANGE(""https://docs.google.com/spreadsheets/d/1DY4XTNNwjluuxqdfdn6qvOSlMRrZqUtmYcZR0ttFiG4/edit?usp=sharing"",""ลำปาง!Q766"")+IMPORTRANGE(""https://docs.goog"&amp;"le.com/spreadsheets/d/1ICwG78r0OFT8biBlxnBF8r7she7gNSzOvJ958PWT09c/edit?usp=sharing"",""ลำพูน!Q766"")+IMPORTRANGE(""https://docs.google.com/spreadsheets/d/1B0f2xJpZUC6Z0xXnqKlZtEPzsf6L84eP1r1Q15seqRM/edit?usp=sharing"",""สุโขทัย!Q766"")+IMPORTRANGE(""http"&amp;"s://docs.google.com/spreadsheets/d/1v0b9pFQCsKUVExMei7AgY2yQkdeNQvtOssygGsXbiKo/edit?usp=sharing"",""อุตรดิตถ์!Q766"")+IMPORTRANGE(""https://docs.google.com/spreadsheets/d/1UsNK1e-WWiCo2PvGqdNfdme4m17_Ezd3J69EeeiQPD0/edit?usp=sharing"",""อุทัยธานี!Q766"")"),0)</f>
        <v>0</v>
      </c>
      <c r="R767" s="45">
        <f ca="1">IFERROR(__xludf.DUMMYFUNCTION("IMPORTRANGE(""https://docs.google.com/spreadsheets/d/1jTcq05yEiRwXcBMLjiodW9e4biSGYWAHcDj22rKWQ3s/edit?usp=sharing"",""กำแพงเพชร!R766"")+IMPORTRANGE(""https://docs.google.com/spreadsheets/d/1KS0zmDSZPk8KnTAbGN-Xk6MtX1YRZD0ldgdt20K4CRk/edit?usp=sharing"","&amp;"""เชียงราย!R766"")+IMPORTRANGE(""https://docs.google.com/spreadsheets/d/1rEDxBtusbi64tE0zunoIbsTVV16HeL0oJ6trHQeQ7K8/edit?usp=sharing"",""เชียงใหม่!R766"")+IMPORTRANGE(""https://docs.google.com/spreadsheets/d/1W6MnUbDkMi6xHnHko_XkFDO9kkuL6Wqyc-6OCDFjW9I/e"&amp;"dit?usp=sharing"",""ตาก!R766"")+IMPORTRANGE(""https://docs.google.com/spreadsheets/d/1IQAWArduLkta9LpYo4a_ULsyqdta6-6aDDiwpUnQT6c/edit?usp=sharing"",""นครสวรรค์!R766"")+IMPORTRANGE(""https://docs.google.com/spreadsheets/d/10s13Sk5xrltsiR-Zkbmk5DwIaDIKO8Xl"&amp;"bJAfqyT7Gvg/edit?usp=sharing"",""น่าน!R766"")+IMPORTRANGE(""https://docs.google.com/spreadsheets/d/1uu4nAn4Dbi1XREnLKKotUANlKXa7yCgRcgq8HEzQYW8/edit?usp=sharing"",""พะเยา!R766"")+IMPORTRANGE(""https://docs.google.com/spreadsheets/d/1xfJKIQxVOaPDIICqsflNlL"&amp;"u3JacTDk1FP9RH4phX7mI/edit?usp=sharing"",""พิจิตร!R766"")+IMPORTRANGE(""https://docs.google.com/spreadsheets/d/1JtRfZkJMHtEhI5RdRHxYUG4FIZHqKDpNyIuN7A1Q0_k/edit?usp=sharing"",""พิษณุโลก!R766"")+IMPORTRANGE(""https://docs.google.com/spreadsheets/d/1xlcVZWU"&amp;"Nn6SuWm0c307h32SiGkd9BaeQWlAktfD3KO8/edit?usp=sharing"",""เพชรบูรณ์!R766"")+IMPORTRANGE(""https://docs.google.com/spreadsheets/d/1lOVebEIsI9qjGXl6EX66luk7wiuP2tBaryw-wKvv4e0/edit?usp=sharing"",""แพร่!R766"")+IMPORTRANGE(""https://docs.google.com/spreadshe"&amp;"ets/d/1dQrvX0vEcN7Gu0fnZ0B5S90AeR19zth4XlExFBeExMY/edit?usp=sharing"",""แม่ฮ่องสอน!R766"")+IMPORTRANGE(""https://docs.google.com/spreadsheets/d/1DY4XTNNwjluuxqdfdn6qvOSlMRrZqUtmYcZR0ttFiG4/edit?usp=sharing"",""ลำปาง!R766"")+IMPORTRANGE(""https://docs.goog"&amp;"le.com/spreadsheets/d/1ICwG78r0OFT8biBlxnBF8r7she7gNSzOvJ958PWT09c/edit?usp=sharing"",""ลำพูน!R766"")+IMPORTRANGE(""https://docs.google.com/spreadsheets/d/1B0f2xJpZUC6Z0xXnqKlZtEPzsf6L84eP1r1Q15seqRM/edit?usp=sharing"",""สุโขทัย!R766"")+IMPORTRANGE(""http"&amp;"s://docs.google.com/spreadsheets/d/1v0b9pFQCsKUVExMei7AgY2yQkdeNQvtOssygGsXbiKo/edit?usp=sharing"",""อุตรดิตถ์!R766"")+IMPORTRANGE(""https://docs.google.com/spreadsheets/d/1UsNK1e-WWiCo2PvGqdNfdme4m17_Ezd3J69EeeiQPD0/edit?usp=sharing"",""อุทัยธานี!R766"")"),0)</f>
        <v>0</v>
      </c>
      <c r="S767" s="45">
        <f ca="1">IFERROR(__xludf.DUMMYFUNCTION("IMPORTRANGE(""https://docs.google.com/spreadsheets/d/1jTcq05yEiRwXcBMLjiodW9e4biSGYWAHcDj22rKWQ3s/edit?usp=sharing"",""กำแพงเพชร!S766"")+IMPORTRANGE(""https://docs.google.com/spreadsheets/d/1KS0zmDSZPk8KnTAbGN-Xk6MtX1YRZD0ldgdt20K4CRk/edit?usp=sharing"","&amp;"""เชียงราย!S766"")+IMPORTRANGE(""https://docs.google.com/spreadsheets/d/1rEDxBtusbi64tE0zunoIbsTVV16HeL0oJ6trHQeQ7K8/edit?usp=sharing"",""เชียงใหม่!S766"")+IMPORTRANGE(""https://docs.google.com/spreadsheets/d/1W6MnUbDkMi6xHnHko_XkFDO9kkuL6Wqyc-6OCDFjW9I/e"&amp;"dit?usp=sharing"",""ตาก!S766"")+IMPORTRANGE(""https://docs.google.com/spreadsheets/d/1IQAWArduLkta9LpYo4a_ULsyqdta6-6aDDiwpUnQT6c/edit?usp=sharing"",""นครสวรรค์!S766"")+IMPORTRANGE(""https://docs.google.com/spreadsheets/d/10s13Sk5xrltsiR-Zkbmk5DwIaDIKO8Xl"&amp;"bJAfqyT7Gvg/edit?usp=sharing"",""น่าน!S766"")+IMPORTRANGE(""https://docs.google.com/spreadsheets/d/1uu4nAn4Dbi1XREnLKKotUANlKXa7yCgRcgq8HEzQYW8/edit?usp=sharing"",""พะเยา!S766"")+IMPORTRANGE(""https://docs.google.com/spreadsheets/d/1xfJKIQxVOaPDIICqsflNlL"&amp;"u3JacTDk1FP9RH4phX7mI/edit?usp=sharing"",""พิจิตร!S766"")+IMPORTRANGE(""https://docs.google.com/spreadsheets/d/1JtRfZkJMHtEhI5RdRHxYUG4FIZHqKDpNyIuN7A1Q0_k/edit?usp=sharing"",""พิษณุโลก!S766"")+IMPORTRANGE(""https://docs.google.com/spreadsheets/d/1xlcVZWU"&amp;"Nn6SuWm0c307h32SiGkd9BaeQWlAktfD3KO8/edit?usp=sharing"",""เพชรบูรณ์!S766"")+IMPORTRANGE(""https://docs.google.com/spreadsheets/d/1lOVebEIsI9qjGXl6EX66luk7wiuP2tBaryw-wKvv4e0/edit?usp=sharing"",""แพร่!S766"")+IMPORTRANGE(""https://docs.google.com/spreadshe"&amp;"ets/d/1dQrvX0vEcN7Gu0fnZ0B5S90AeR19zth4XlExFBeExMY/edit?usp=sharing"",""แม่ฮ่องสอน!S766"")+IMPORTRANGE(""https://docs.google.com/spreadsheets/d/1DY4XTNNwjluuxqdfdn6qvOSlMRrZqUtmYcZR0ttFiG4/edit?usp=sharing"",""ลำปาง!S766"")+IMPORTRANGE(""https://docs.goog"&amp;"le.com/spreadsheets/d/1ICwG78r0OFT8biBlxnBF8r7she7gNSzOvJ958PWT09c/edit?usp=sharing"",""ลำพูน!S766"")+IMPORTRANGE(""https://docs.google.com/spreadsheets/d/1B0f2xJpZUC6Z0xXnqKlZtEPzsf6L84eP1r1Q15seqRM/edit?usp=sharing"",""สุโขทัย!S766"")+IMPORTRANGE(""http"&amp;"s://docs.google.com/spreadsheets/d/1v0b9pFQCsKUVExMei7AgY2yQkdeNQvtOssygGsXbiKo/edit?usp=sharing"",""อุตรดิตถ์!S766"")+IMPORTRANGE(""https://docs.google.com/spreadsheets/d/1UsNK1e-WWiCo2PvGqdNfdme4m17_Ezd3J69EeeiQPD0/edit?usp=sharing"",""อุทัยธานี!S766"")"),0)</f>
        <v>0</v>
      </c>
      <c r="T767" s="45">
        <f t="shared" ca="1" si="524"/>
        <v>0</v>
      </c>
      <c r="U767" s="45">
        <f t="shared" ca="1" si="525"/>
        <v>0</v>
      </c>
    </row>
    <row r="768" spans="1:21" ht="18.75" x14ac:dyDescent="0.25">
      <c r="A768" s="126"/>
      <c r="B768" s="156"/>
      <c r="C768" s="156"/>
      <c r="D768" s="156"/>
      <c r="E768" s="215" t="s">
        <v>21</v>
      </c>
      <c r="F768" s="37"/>
      <c r="G768" s="39"/>
      <c r="H768" s="135" t="s">
        <v>14</v>
      </c>
      <c r="I768" s="133"/>
      <c r="J768" s="133"/>
      <c r="K768" s="134"/>
      <c r="L768" s="43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8" s="43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8" s="43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8" s="43">
        <f t="shared" ca="1" si="521"/>
        <v>0</v>
      </c>
      <c r="P768" s="43">
        <f t="shared" ca="1" si="522"/>
        <v>0</v>
      </c>
      <c r="Q768" s="43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8" s="43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8" s="43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8" s="43">
        <f t="shared" ca="1" si="524"/>
        <v>0</v>
      </c>
      <c r="U768" s="43">
        <f t="shared" ca="1" si="525"/>
        <v>0</v>
      </c>
    </row>
    <row r="769" spans="1:21" ht="19.5" x14ac:dyDescent="0.3">
      <c r="A769" s="136"/>
      <c r="B769" s="137"/>
      <c r="C769" s="452" t="s">
        <v>18</v>
      </c>
      <c r="D769" s="421" t="s">
        <v>38</v>
      </c>
      <c r="E769" s="209"/>
      <c r="F769" s="139"/>
      <c r="G769" s="140"/>
      <c r="H769" s="179"/>
      <c r="I769" s="41"/>
      <c r="J769" s="41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x14ac:dyDescent="0.25">
      <c r="A770" s="136"/>
      <c r="B770" s="137"/>
      <c r="C770" s="137"/>
      <c r="D770" s="389" t="s">
        <v>285</v>
      </c>
      <c r="E770" s="137"/>
      <c r="F770" s="143"/>
      <c r="G770" s="141"/>
      <c r="H770" s="387" t="s">
        <v>35</v>
      </c>
      <c r="I770" s="326">
        <f ca="1">IFERROR(__xludf.DUMMYFUNCTION("IMPORTRANGE(""https://docs.google.com/spreadsheets/d/1jTcq05yEiRwXcBMLjiodW9e4biSGYWAHcDj22rKWQ3s/edit?usp=sharing"",""กำแพงเพชร!I769"")+IMPORTRANGE(""https://docs.google.com/spreadsheets/d/1KS0zmDSZPk8KnTAbGN-Xk6MtX1YRZD0ldgdt20K4CRk/edit?usp=sharing"","&amp;"""เชียงราย!I769"")+IMPORTRANGE(""https://docs.google.com/spreadsheets/d/1rEDxBtusbi64tE0zunoIbsTVV16HeL0oJ6trHQeQ7K8/edit?usp=sharing"",""เชียงใหม่!I769"")+IMPORTRANGE(""https://docs.google.com/spreadsheets/d/1W6MnUbDkMi6xHnHko_XkFDO9kkuL6Wqyc-6OCDFjW9I/e"&amp;"dit?usp=sharing"",""ตาก!I769"")+IMPORTRANGE(""https://docs.google.com/spreadsheets/d/1IQAWArduLkta9LpYo4a_ULsyqdta6-6aDDiwpUnQT6c/edit?usp=sharing"",""นครสวรรค์!I769"")+IMPORTRANGE(""https://docs.google.com/spreadsheets/d/10s13Sk5xrltsiR-Zkbmk5DwIaDIKO8Xl"&amp;"bJAfqyT7Gvg/edit?usp=sharing"",""น่าน!I769"")+IMPORTRANGE(""https://docs.google.com/spreadsheets/d/1uu4nAn4Dbi1XREnLKKotUANlKXa7yCgRcgq8HEzQYW8/edit?usp=sharing"",""พะเยา!I769"")+IMPORTRANGE(""https://docs.google.com/spreadsheets/d/1xfJKIQxVOaPDIICqsflNlL"&amp;"u3JacTDk1FP9RH4phX7mI/edit?usp=sharing"",""พิจิตร!I769"")+IMPORTRANGE(""https://docs.google.com/spreadsheets/d/1JtRfZkJMHtEhI5RdRHxYUG4FIZHqKDpNyIuN7A1Q0_k/edit?usp=sharing"",""พิษณุโลก!I769"")+IMPORTRANGE(""https://docs.google.com/spreadsheets/d/1xlcVZWU"&amp;"Nn6SuWm0c307h32SiGkd9BaeQWlAktfD3KO8/edit?usp=sharing"",""เพชรบูรณ์!I769"")+IMPORTRANGE(""https://docs.google.com/spreadsheets/d/1lOVebEIsI9qjGXl6EX66luk7wiuP2tBaryw-wKvv4e0/edit?usp=sharing"",""แพร่!I769"")+IMPORTRANGE(""https://docs.google.com/spreadshe"&amp;"ets/d/1dQrvX0vEcN7Gu0fnZ0B5S90AeR19zth4XlExFBeExMY/edit?usp=sharing"",""แม่ฮ่องสอน!I769"")+IMPORTRANGE(""https://docs.google.com/spreadsheets/d/1DY4XTNNwjluuxqdfdn6qvOSlMRrZqUtmYcZR0ttFiG4/edit?usp=sharing"",""ลำปาง!I769"")+IMPORTRANGE(""https://docs.goog"&amp;"le.com/spreadsheets/d/1ICwG78r0OFT8biBlxnBF8r7she7gNSzOvJ958PWT09c/edit?usp=sharing"",""ลำพูน!I769"")+IMPORTRANGE(""https://docs.google.com/spreadsheets/d/1B0f2xJpZUC6Z0xXnqKlZtEPzsf6L84eP1r1Q15seqRM/edit?usp=sharing"",""สุโขทัย!I769"")+IMPORTRANGE(""http"&amp;"s://docs.google.com/spreadsheets/d/1v0b9pFQCsKUVExMei7AgY2yQkdeNQvtOssygGsXbiKo/edit?usp=sharing"",""อุตรดิตถ์!I769"")+IMPORTRANGE(""https://docs.google.com/spreadsheets/d/1UsNK1e-WWiCo2PvGqdNfdme4m17_Ezd3J69EeeiQPD0/edit?usp=sharing"",""อุทัยธานี!I769"")"),0)</f>
        <v>0</v>
      </c>
      <c r="J770" s="326">
        <f ca="1">IFERROR(__xludf.DUMMYFUNCTION("IMPORTRANGE(""https://docs.google.com/spreadsheets/d/1jTcq05yEiRwXcBMLjiodW9e4biSGYWAHcDj22rKWQ3s/edit?usp=sharing"",""กำแพงเพชร!J769"")+IMPORTRANGE(""https://docs.google.com/spreadsheets/d/1KS0zmDSZPk8KnTAbGN-Xk6MtX1YRZD0ldgdt20K4CRk/edit?usp=sharing"","&amp;"""เชียงราย!J769"")+IMPORTRANGE(""https://docs.google.com/spreadsheets/d/1rEDxBtusbi64tE0zunoIbsTVV16HeL0oJ6trHQeQ7K8/edit?usp=sharing"",""เชียงใหม่!J769"")+IMPORTRANGE(""https://docs.google.com/spreadsheets/d/1W6MnUbDkMi6xHnHko_XkFDO9kkuL6Wqyc-6OCDFjW9I/e"&amp;"dit?usp=sharing"",""ตาก!J769"")+IMPORTRANGE(""https://docs.google.com/spreadsheets/d/1IQAWArduLkta9LpYo4a_ULsyqdta6-6aDDiwpUnQT6c/edit?usp=sharing"",""นครสวรรค์!J769"")+IMPORTRANGE(""https://docs.google.com/spreadsheets/d/10s13Sk5xrltsiR-Zkbmk5DwIaDIKO8Xl"&amp;"bJAfqyT7Gvg/edit?usp=sharing"",""น่าน!J769"")+IMPORTRANGE(""https://docs.google.com/spreadsheets/d/1uu4nAn4Dbi1XREnLKKotUANlKXa7yCgRcgq8HEzQYW8/edit?usp=sharing"",""พะเยา!J769"")+IMPORTRANGE(""https://docs.google.com/spreadsheets/d/1xfJKIQxVOaPDIICqsflNlL"&amp;"u3JacTDk1FP9RH4phX7mI/edit?usp=sharing"",""พิจิตร!J769"")+IMPORTRANGE(""https://docs.google.com/spreadsheets/d/1JtRfZkJMHtEhI5RdRHxYUG4FIZHqKDpNyIuN7A1Q0_k/edit?usp=sharing"",""พิษณุโลก!J769"")+IMPORTRANGE(""https://docs.google.com/spreadsheets/d/1xlcVZWU"&amp;"Nn6SuWm0c307h32SiGkd9BaeQWlAktfD3KO8/edit?usp=sharing"",""เพชรบูรณ์!J769"")+IMPORTRANGE(""https://docs.google.com/spreadsheets/d/1lOVebEIsI9qjGXl6EX66luk7wiuP2tBaryw-wKvv4e0/edit?usp=sharing"",""แพร่!J769"")+IMPORTRANGE(""https://docs.google.com/spreadshe"&amp;"ets/d/1dQrvX0vEcN7Gu0fnZ0B5S90AeR19zth4XlExFBeExMY/edit?usp=sharing"",""แม่ฮ่องสอน!J769"")+IMPORTRANGE(""https://docs.google.com/spreadsheets/d/1DY4XTNNwjluuxqdfdn6qvOSlMRrZqUtmYcZR0ttFiG4/edit?usp=sharing"",""ลำปาง!J769"")+IMPORTRANGE(""https://docs.goog"&amp;"le.com/spreadsheets/d/1ICwG78r0OFT8biBlxnBF8r7she7gNSzOvJ958PWT09c/edit?usp=sharing"",""ลำพูน!J769"")+IMPORTRANGE(""https://docs.google.com/spreadsheets/d/1B0f2xJpZUC6Z0xXnqKlZtEPzsf6L84eP1r1Q15seqRM/edit?usp=sharing"",""สุโขทัย!J769"")+IMPORTRANGE(""http"&amp;"s://docs.google.com/spreadsheets/d/1v0b9pFQCsKUVExMei7AgY2yQkdeNQvtOssygGsXbiKo/edit?usp=sharing"",""อุตรดิตถ์!J769"")+IMPORTRANGE(""https://docs.google.com/spreadsheets/d/1UsNK1e-WWiCo2PvGqdNfdme4m17_Ezd3J69EeeiQPD0/edit?usp=sharing"",""อุทัยธานี!J769"")"),0)</f>
        <v>0</v>
      </c>
      <c r="K770" s="45">
        <f ca="1">IF(I770&gt;0,J770*100/I770,0)</f>
        <v>0</v>
      </c>
      <c r="L770" s="42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x14ac:dyDescent="0.25">
      <c r="A771" s="136"/>
      <c r="B771" s="137"/>
      <c r="C771" s="137"/>
      <c r="D771" s="389" t="s">
        <v>286</v>
      </c>
      <c r="E771" s="137"/>
      <c r="F771" s="143"/>
      <c r="G771" s="141"/>
      <c r="H771" s="179"/>
      <c r="I771" s="41"/>
      <c r="J771" s="41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43"/>
      <c r="G772" s="141"/>
      <c r="H772" s="135" t="s">
        <v>35</v>
      </c>
      <c r="I772" s="165">
        <f ca="1">IFERROR(__xludf.DUMMYFUNCTION("IMPORTRANGE(""https://docs.google.com/spreadsheets/d/1jTcq05yEiRwXcBMLjiodW9e4biSGYWAHcDj22rKWQ3s/edit?usp=sharing"",""กำแพงเพชร!I771"")+IMPORTRANGE(""https://docs.google.com/spreadsheets/d/1KS0zmDSZPk8KnTAbGN-Xk6MtX1YRZD0ldgdt20K4CRk/edit?usp=sharing"","&amp;"""เชียงราย!I771"")+IMPORTRANGE(""https://docs.google.com/spreadsheets/d/1rEDxBtusbi64tE0zunoIbsTVV16HeL0oJ6trHQeQ7K8/edit?usp=sharing"",""เชียงใหม่!I771"")+IMPORTRANGE(""https://docs.google.com/spreadsheets/d/1W6MnUbDkMi6xHnHko_XkFDO9kkuL6Wqyc-6OCDFjW9I/e"&amp;"dit?usp=sharing"",""ตาก!I771"")+IMPORTRANGE(""https://docs.google.com/spreadsheets/d/1IQAWArduLkta9LpYo4a_ULsyqdta6-6aDDiwpUnQT6c/edit?usp=sharing"",""นครสวรรค์!I771"")+IMPORTRANGE(""https://docs.google.com/spreadsheets/d/10s13Sk5xrltsiR-Zkbmk5DwIaDIKO8Xl"&amp;"bJAfqyT7Gvg/edit?usp=sharing"",""น่าน!I771"")+IMPORTRANGE(""https://docs.google.com/spreadsheets/d/1uu4nAn4Dbi1XREnLKKotUANlKXa7yCgRcgq8HEzQYW8/edit?usp=sharing"",""พะเยา!I771"")+IMPORTRANGE(""https://docs.google.com/spreadsheets/d/1xfJKIQxVOaPDIICqsflNlL"&amp;"u3JacTDk1FP9RH4phX7mI/edit?usp=sharing"",""พิจิตร!I771"")+IMPORTRANGE(""https://docs.google.com/spreadsheets/d/1JtRfZkJMHtEhI5RdRHxYUG4FIZHqKDpNyIuN7A1Q0_k/edit?usp=sharing"",""พิษณุโลก!I771"")+IMPORTRANGE(""https://docs.google.com/spreadsheets/d/1xlcVZWU"&amp;"Nn6SuWm0c307h32SiGkd9BaeQWlAktfD3KO8/edit?usp=sharing"",""เพชรบูรณ์!I771"")+IMPORTRANGE(""https://docs.google.com/spreadsheets/d/1lOVebEIsI9qjGXl6EX66luk7wiuP2tBaryw-wKvv4e0/edit?usp=sharing"",""แพร่!I771"")+IMPORTRANGE(""https://docs.google.com/spreadshe"&amp;"ets/d/1dQrvX0vEcN7Gu0fnZ0B5S90AeR19zth4XlExFBeExMY/edit?usp=sharing"",""แม่ฮ่องสอน!I771"")+IMPORTRANGE(""https://docs.google.com/spreadsheets/d/1DY4XTNNwjluuxqdfdn6qvOSlMRrZqUtmYcZR0ttFiG4/edit?usp=sharing"",""ลำปาง!I771"")+IMPORTRANGE(""https://docs.goog"&amp;"le.com/spreadsheets/d/1ICwG78r0OFT8biBlxnBF8r7she7gNSzOvJ958PWT09c/edit?usp=sharing"",""ลำพูน!I771"")+IMPORTRANGE(""https://docs.google.com/spreadsheets/d/1B0f2xJpZUC6Z0xXnqKlZtEPzsf6L84eP1r1Q15seqRM/edit?usp=sharing"",""สุโขทัย!I771"")+IMPORTRANGE(""http"&amp;"s://docs.google.com/spreadsheets/d/1v0b9pFQCsKUVExMei7AgY2yQkdeNQvtOssygGsXbiKo/edit?usp=sharing"",""อุตรดิตถ์!I771"")+IMPORTRANGE(""https://docs.google.com/spreadsheets/d/1UsNK1e-WWiCo2PvGqdNfdme4m17_Ezd3J69EeeiQPD0/edit?usp=sharing"",""อุทัยธานี!I771"")"),1115)</f>
        <v>1115</v>
      </c>
      <c r="J772" s="166">
        <f ca="1">IFERROR(__xludf.DUMMYFUNCTION("IMPORTRANGE(""https://docs.google.com/spreadsheets/d/1jTcq05yEiRwXcBMLjiodW9e4biSGYWAHcDj22rKWQ3s/edit?usp=sharing"",""กำแพงเพชร!J771"")+IMPORTRANGE(""https://docs.google.com/spreadsheets/d/1KS0zmDSZPk8KnTAbGN-Xk6MtX1YRZD0ldgdt20K4CRk/edit?usp=sharing"","&amp;"""เชียงราย!J771"")+IMPORTRANGE(""https://docs.google.com/spreadsheets/d/1rEDxBtusbi64tE0zunoIbsTVV16HeL0oJ6trHQeQ7K8/edit?usp=sharing"",""เชียงใหม่!J771"")+IMPORTRANGE(""https://docs.google.com/spreadsheets/d/1W6MnUbDkMi6xHnHko_XkFDO9kkuL6Wqyc-6OCDFjW9I/e"&amp;"dit?usp=sharing"",""ตาก!J771"")+IMPORTRANGE(""https://docs.google.com/spreadsheets/d/1IQAWArduLkta9LpYo4a_ULsyqdta6-6aDDiwpUnQT6c/edit?usp=sharing"",""นครสวรรค์!J771"")+IMPORTRANGE(""https://docs.google.com/spreadsheets/d/10s13Sk5xrltsiR-Zkbmk5DwIaDIKO8Xl"&amp;"bJAfqyT7Gvg/edit?usp=sharing"",""น่าน!J771"")+IMPORTRANGE(""https://docs.google.com/spreadsheets/d/1uu4nAn4Dbi1XREnLKKotUANlKXa7yCgRcgq8HEzQYW8/edit?usp=sharing"",""พะเยา!J771"")+IMPORTRANGE(""https://docs.google.com/spreadsheets/d/1xfJKIQxVOaPDIICqsflNlL"&amp;"u3JacTDk1FP9RH4phX7mI/edit?usp=sharing"",""พิจิตร!J771"")+IMPORTRANGE(""https://docs.google.com/spreadsheets/d/1JtRfZkJMHtEhI5RdRHxYUG4FIZHqKDpNyIuN7A1Q0_k/edit?usp=sharing"",""พิษณุโลก!J771"")+IMPORTRANGE(""https://docs.google.com/spreadsheets/d/1xlcVZWU"&amp;"Nn6SuWm0c307h32SiGkd9BaeQWlAktfD3KO8/edit?usp=sharing"",""เพชรบูรณ์!J771"")+IMPORTRANGE(""https://docs.google.com/spreadsheets/d/1lOVebEIsI9qjGXl6EX66luk7wiuP2tBaryw-wKvv4e0/edit?usp=sharing"",""แพร่!J771"")+IMPORTRANGE(""https://docs.google.com/spreadshe"&amp;"ets/d/1dQrvX0vEcN7Gu0fnZ0B5S90AeR19zth4XlExFBeExMY/edit?usp=sharing"",""แม่ฮ่องสอน!J771"")+IMPORTRANGE(""https://docs.google.com/spreadsheets/d/1DY4XTNNwjluuxqdfdn6qvOSlMRrZqUtmYcZR0ttFiG4/edit?usp=sharing"",""ลำปาง!J771"")+IMPORTRANGE(""https://docs.goog"&amp;"le.com/spreadsheets/d/1ICwG78r0OFT8biBlxnBF8r7she7gNSzOvJ958PWT09c/edit?usp=sharing"",""ลำพูน!J771"")+IMPORTRANGE(""https://docs.google.com/spreadsheets/d/1B0f2xJpZUC6Z0xXnqKlZtEPzsf6L84eP1r1Q15seqRM/edit?usp=sharing"",""สุโขทัย!J771"")+IMPORTRANGE(""http"&amp;"s://docs.google.com/spreadsheets/d/1v0b9pFQCsKUVExMei7AgY2yQkdeNQvtOssygGsXbiKo/edit?usp=sharing"",""อุตรดิตถ์!J771"")+IMPORTRANGE(""https://docs.google.com/spreadsheets/d/1UsNK1e-WWiCo2PvGqdNfdme4m17_Ezd3J69EeeiQPD0/edit?usp=sharing"",""อุทัยธานี!J771"")"),103)</f>
        <v>103</v>
      </c>
      <c r="K772" s="43">
        <f ca="1">IF(I772&gt;0,J772*100/I772,0)</f>
        <v>9.2376681614349767</v>
      </c>
      <c r="L772" s="42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43"/>
      <c r="G773" s="141"/>
      <c r="H773" s="179"/>
      <c r="I773" s="41"/>
      <c r="J773" s="41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43"/>
      <c r="G774" s="141"/>
      <c r="H774" s="135" t="s">
        <v>46</v>
      </c>
      <c r="I774" s="165">
        <f ca="1">IFERROR(__xludf.DUMMYFUNCTION("IMPORTRANGE(""https://docs.google.com/spreadsheets/d/1jTcq05yEiRwXcBMLjiodW9e4biSGYWAHcDj22rKWQ3s/edit?usp=sharing"",""กำแพงเพชร!I773"")+IMPORTRANGE(""https://docs.google.com/spreadsheets/d/1KS0zmDSZPk8KnTAbGN-Xk6MtX1YRZD0ldgdt20K4CRk/edit?usp=sharing"","&amp;"""เชียงราย!I773"")+IMPORTRANGE(""https://docs.google.com/spreadsheets/d/1rEDxBtusbi64tE0zunoIbsTVV16HeL0oJ6trHQeQ7K8/edit?usp=sharing"",""เชียงใหม่!I773"")+IMPORTRANGE(""https://docs.google.com/spreadsheets/d/1W6MnUbDkMi6xHnHko_XkFDO9kkuL6Wqyc-6OCDFjW9I/e"&amp;"dit?usp=sharing"",""ตาก!I773"")+IMPORTRANGE(""https://docs.google.com/spreadsheets/d/1IQAWArduLkta9LpYo4a_ULsyqdta6-6aDDiwpUnQT6c/edit?usp=sharing"",""นครสวรรค์!I773"")+IMPORTRANGE(""https://docs.google.com/spreadsheets/d/10s13Sk5xrltsiR-Zkbmk5DwIaDIKO8Xl"&amp;"bJAfqyT7Gvg/edit?usp=sharing"",""น่าน!I773"")+IMPORTRANGE(""https://docs.google.com/spreadsheets/d/1uu4nAn4Dbi1XREnLKKotUANlKXa7yCgRcgq8HEzQYW8/edit?usp=sharing"",""พะเยา!I773"")+IMPORTRANGE(""https://docs.google.com/spreadsheets/d/1xfJKIQxVOaPDIICqsflNlL"&amp;"u3JacTDk1FP9RH4phX7mI/edit?usp=sharing"",""พิจิตร!I773"")+IMPORTRANGE(""https://docs.google.com/spreadsheets/d/1JtRfZkJMHtEhI5RdRHxYUG4FIZHqKDpNyIuN7A1Q0_k/edit?usp=sharing"",""พิษณุโลก!I773"")+IMPORTRANGE(""https://docs.google.com/spreadsheets/d/1xlcVZWU"&amp;"Nn6SuWm0c307h32SiGkd9BaeQWlAktfD3KO8/edit?usp=sharing"",""เพชรบูรณ์!I773"")+IMPORTRANGE(""https://docs.google.com/spreadsheets/d/1lOVebEIsI9qjGXl6EX66luk7wiuP2tBaryw-wKvv4e0/edit?usp=sharing"",""แพร่!I773"")+IMPORTRANGE(""https://docs.google.com/spreadshe"&amp;"ets/d/1dQrvX0vEcN7Gu0fnZ0B5S90AeR19zth4XlExFBeExMY/edit?usp=sharing"",""แม่ฮ่องสอน!I773"")+IMPORTRANGE(""https://docs.google.com/spreadsheets/d/1DY4XTNNwjluuxqdfdn6qvOSlMRrZqUtmYcZR0ttFiG4/edit?usp=sharing"",""ลำปาง!I773"")+IMPORTRANGE(""https://docs.goog"&amp;"le.com/spreadsheets/d/1ICwG78r0OFT8biBlxnBF8r7she7gNSzOvJ958PWT09c/edit?usp=sharing"",""ลำพูน!I773"")+IMPORTRANGE(""https://docs.google.com/spreadsheets/d/1B0f2xJpZUC6Z0xXnqKlZtEPzsf6L84eP1r1Q15seqRM/edit?usp=sharing"",""สุโขทัย!I773"")+IMPORTRANGE(""http"&amp;"s://docs.google.com/spreadsheets/d/1v0b9pFQCsKUVExMei7AgY2yQkdeNQvtOssygGsXbiKo/edit?usp=sharing"",""อุตรดิตถ์!I773"")+IMPORTRANGE(""https://docs.google.com/spreadsheets/d/1UsNK1e-WWiCo2PvGqdNfdme4m17_Ezd3J69EeeiQPD0/edit?usp=sharing"",""อุทัยธานี!I773"")"),3235)</f>
        <v>3235</v>
      </c>
      <c r="J774" s="166">
        <f ca="1">IFERROR(__xludf.DUMMYFUNCTION("IMPORTRANGE(""https://docs.google.com/spreadsheets/d/1jTcq05yEiRwXcBMLjiodW9e4biSGYWAHcDj22rKWQ3s/edit?usp=sharing"",""กำแพงเพชร!J773"")+IMPORTRANGE(""https://docs.google.com/spreadsheets/d/1KS0zmDSZPk8KnTAbGN-Xk6MtX1YRZD0ldgdt20K4CRk/edit?usp=sharing"","&amp;"""เชียงราย!J773"")+IMPORTRANGE(""https://docs.google.com/spreadsheets/d/1rEDxBtusbi64tE0zunoIbsTVV16HeL0oJ6trHQeQ7K8/edit?usp=sharing"",""เชียงใหม่!J773"")+IMPORTRANGE(""https://docs.google.com/spreadsheets/d/1W6MnUbDkMi6xHnHko_XkFDO9kkuL6Wqyc-6OCDFjW9I/e"&amp;"dit?usp=sharing"",""ตาก!J773"")+IMPORTRANGE(""https://docs.google.com/spreadsheets/d/1IQAWArduLkta9LpYo4a_ULsyqdta6-6aDDiwpUnQT6c/edit?usp=sharing"",""นครสวรรค์!J773"")+IMPORTRANGE(""https://docs.google.com/spreadsheets/d/10s13Sk5xrltsiR-Zkbmk5DwIaDIKO8Xl"&amp;"bJAfqyT7Gvg/edit?usp=sharing"",""น่าน!J773"")+IMPORTRANGE(""https://docs.google.com/spreadsheets/d/1uu4nAn4Dbi1XREnLKKotUANlKXa7yCgRcgq8HEzQYW8/edit?usp=sharing"",""พะเยา!J773"")+IMPORTRANGE(""https://docs.google.com/spreadsheets/d/1xfJKIQxVOaPDIICqsflNlL"&amp;"u3JacTDk1FP9RH4phX7mI/edit?usp=sharing"",""พิจิตร!J773"")+IMPORTRANGE(""https://docs.google.com/spreadsheets/d/1JtRfZkJMHtEhI5RdRHxYUG4FIZHqKDpNyIuN7A1Q0_k/edit?usp=sharing"",""พิษณุโลก!J773"")+IMPORTRANGE(""https://docs.google.com/spreadsheets/d/1xlcVZWU"&amp;"Nn6SuWm0c307h32SiGkd9BaeQWlAktfD3KO8/edit?usp=sharing"",""เพชรบูรณ์!J773"")+IMPORTRANGE(""https://docs.google.com/spreadsheets/d/1lOVebEIsI9qjGXl6EX66luk7wiuP2tBaryw-wKvv4e0/edit?usp=sharing"",""แพร่!J773"")+IMPORTRANGE(""https://docs.google.com/spreadshe"&amp;"ets/d/1dQrvX0vEcN7Gu0fnZ0B5S90AeR19zth4XlExFBeExMY/edit?usp=sharing"",""แม่ฮ่องสอน!J773"")+IMPORTRANGE(""https://docs.google.com/spreadsheets/d/1DY4XTNNwjluuxqdfdn6qvOSlMRrZqUtmYcZR0ttFiG4/edit?usp=sharing"",""ลำปาง!J773"")+IMPORTRANGE(""https://docs.goog"&amp;"le.com/spreadsheets/d/1ICwG78r0OFT8biBlxnBF8r7she7gNSzOvJ958PWT09c/edit?usp=sharing"",""ลำพูน!J773"")+IMPORTRANGE(""https://docs.google.com/spreadsheets/d/1B0f2xJpZUC6Z0xXnqKlZtEPzsf6L84eP1r1Q15seqRM/edit?usp=sharing"",""สุโขทัย!J773"")+IMPORTRANGE(""http"&amp;"s://docs.google.com/spreadsheets/d/1v0b9pFQCsKUVExMei7AgY2yQkdeNQvtOssygGsXbiKo/edit?usp=sharing"",""อุตรดิตถ์!J773"")+IMPORTRANGE(""https://docs.google.com/spreadsheets/d/1UsNK1e-WWiCo2PvGqdNfdme4m17_Ezd3J69EeeiQPD0/edit?usp=sharing"",""อุทัยธานี!J773"")"),197.75)</f>
        <v>197.75</v>
      </c>
      <c r="K774" s="43">
        <f ca="1">IF(I774&gt;0,J774*100/I774,0)</f>
        <v>6.1128284389489957</v>
      </c>
      <c r="L774" s="42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43"/>
      <c r="F775" s="37"/>
      <c r="G775" s="39"/>
      <c r="H775" s="135" t="s">
        <v>46</v>
      </c>
      <c r="I775" s="165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5" s="166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0)</f>
        <v>0</v>
      </c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3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1115)</f>
        <v>1115</v>
      </c>
      <c r="J776" s="346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0)</f>
        <v>0</v>
      </c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453" t="s">
        <v>290</v>
      </c>
      <c r="B777" s="454"/>
      <c r="C777" s="454"/>
      <c r="D777" s="454"/>
      <c r="E777" s="455"/>
      <c r="F777" s="455"/>
      <c r="G777" s="456"/>
      <c r="H777" s="457" t="str">
        <f ca="1">IFERROR(__xludf.DUMMYFUNCTION("IMPORTRANGE(""https://docs.google.com/spreadsheets/d/1gNPQPjxUj63ZZXIIIm2aX4x3w7PhAZpC9JuXdbpWwUQ/edit?usp=sharing"",""Sheet1!b2"")")," (ข้อมูล ณ 31 ม.ค. 67)")</f>
        <v xml:space="preserve"> 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214"/>
      <c r="B778" s="215" t="s">
        <v>291</v>
      </c>
      <c r="C778" s="156"/>
      <c r="D778" s="156"/>
      <c r="E778" s="37"/>
      <c r="F778" s="37"/>
      <c r="G778" s="39"/>
      <c r="H778" s="131" t="s">
        <v>14</v>
      </c>
      <c r="I778" s="189">
        <f ca="1">IFERROR(__xludf.DUMMYFUNCTION("IMPORTRANGE(""https://docs.google.com/spreadsheets/d/1jTcq05yEiRwXcBMLjiodW9e4biSGYWAHcDj22rKWQ3s/edit?usp=sharing"",""กำแพงเพชร!I777"")+IMPORTRANGE(""https://docs.google.com/spreadsheets/d/1KS0zmDSZPk8KnTAbGN-Xk6MtX1YRZD0ldgdt20K4CRk/edit?usp=sharing"","&amp;"""เชียงราย!I777"")+IMPORTRANGE(""https://docs.google.com/spreadsheets/d/1rEDxBtusbi64tE0zunoIbsTVV16HeL0oJ6trHQeQ7K8/edit?usp=sharing"",""เชียงใหม่!I777"")+IMPORTRANGE(""https://docs.google.com/spreadsheets/d/1W6MnUbDkMi6xHnHko_XkFDO9kkuL6Wqyc-6OCDFjW9I/e"&amp;"dit?usp=sharing"",""ตาก!I777"")+IMPORTRANGE(""https://docs.google.com/spreadsheets/d/1IQAWArduLkta9LpYo4a_ULsyqdta6-6aDDiwpUnQT6c/edit?usp=sharing"",""นครสวรรค์!I777"")+IMPORTRANGE(""https://docs.google.com/spreadsheets/d/10s13Sk5xrltsiR-Zkbmk5DwIaDIKO8Xl"&amp;"bJAfqyT7Gvg/edit?usp=sharing"",""น่าน!I777"")+IMPORTRANGE(""https://docs.google.com/spreadsheets/d/1uu4nAn4Dbi1XREnLKKotUANlKXa7yCgRcgq8HEzQYW8/edit?usp=sharing"",""พะเยา!I777"")+IMPORTRANGE(""https://docs.google.com/spreadsheets/d/1xfJKIQxVOaPDIICqsflNlL"&amp;"u3JacTDk1FP9RH4phX7mI/edit?usp=sharing"",""พิจิตร!I777"")+IMPORTRANGE(""https://docs.google.com/spreadsheets/d/1JtRfZkJMHtEhI5RdRHxYUG4FIZHqKDpNyIuN7A1Q0_k/edit?usp=sharing"",""พิษณุโลก!I777"")+IMPORTRANGE(""https://docs.google.com/spreadsheets/d/1xlcVZWU"&amp;"Nn6SuWm0c307h32SiGkd9BaeQWlAktfD3KO8/edit?usp=sharing"",""เพชรบูรณ์!I777"")+IMPORTRANGE(""https://docs.google.com/spreadsheets/d/1lOVebEIsI9qjGXl6EX66luk7wiuP2tBaryw-wKvv4e0/edit?usp=sharing"",""แพร่!I777"")+IMPORTRANGE(""https://docs.google.com/spreadshe"&amp;"ets/d/1dQrvX0vEcN7Gu0fnZ0B5S90AeR19zth4XlExFBeExMY/edit?usp=sharing"",""แม่ฮ่องสอน!I777"")+IMPORTRANGE(""https://docs.google.com/spreadsheets/d/1DY4XTNNwjluuxqdfdn6qvOSlMRrZqUtmYcZR0ttFiG4/edit?usp=sharing"",""ลำปาง!I777"")+IMPORTRANGE(""https://docs.goog"&amp;"le.com/spreadsheets/d/1ICwG78r0OFT8biBlxnBF8r7she7gNSzOvJ958PWT09c/edit?usp=sharing"",""ลำพูน!I777"")+IMPORTRANGE(""https://docs.google.com/spreadsheets/d/1B0f2xJpZUC6Z0xXnqKlZtEPzsf6L84eP1r1Q15seqRM/edit?usp=sharing"",""สุโขทัย!I777"")+IMPORTRANGE(""http"&amp;"s://docs.google.com/spreadsheets/d/1v0b9pFQCsKUVExMei7AgY2yQkdeNQvtOssygGsXbiKo/edit?usp=sharing"",""อุตรดิตถ์!I777"")+IMPORTRANGE(""https://docs.google.com/spreadsheets/d/1UsNK1e-WWiCo2PvGqdNfdme4m17_Ezd3J69EeeiQPD0/edit?usp=sharing"",""อุทัยธานี!I777"")"),100564399.81)</f>
        <v>100564399.81</v>
      </c>
      <c r="J778" s="189">
        <f ca="1">IFERROR(__xludf.DUMMYFUNCTION("IMPORTRANGE(""https://docs.google.com/spreadsheets/d/1jTcq05yEiRwXcBMLjiodW9e4biSGYWAHcDj22rKWQ3s/edit?usp=sharing"",""กำแพงเพชร!J777"")+IMPORTRANGE(""https://docs.google.com/spreadsheets/d/1KS0zmDSZPk8KnTAbGN-Xk6MtX1YRZD0ldgdt20K4CRk/edit?usp=sharing"","&amp;"""เชียงราย!J777"")+IMPORTRANGE(""https://docs.google.com/spreadsheets/d/1rEDxBtusbi64tE0zunoIbsTVV16HeL0oJ6trHQeQ7K8/edit?usp=sharing"",""เชียงใหม่!J777"")+IMPORTRANGE(""https://docs.google.com/spreadsheets/d/1W6MnUbDkMi6xHnHko_XkFDO9kkuL6Wqyc-6OCDFjW9I/e"&amp;"dit?usp=sharing"",""ตาก!J777"")+IMPORTRANGE(""https://docs.google.com/spreadsheets/d/1IQAWArduLkta9LpYo4a_ULsyqdta6-6aDDiwpUnQT6c/edit?usp=sharing"",""นครสวรรค์!J777"")+IMPORTRANGE(""https://docs.google.com/spreadsheets/d/10s13Sk5xrltsiR-Zkbmk5DwIaDIKO8Xl"&amp;"bJAfqyT7Gvg/edit?usp=sharing"",""น่าน!J777"")+IMPORTRANGE(""https://docs.google.com/spreadsheets/d/1uu4nAn4Dbi1XREnLKKotUANlKXa7yCgRcgq8HEzQYW8/edit?usp=sharing"",""พะเยา!J777"")+IMPORTRANGE(""https://docs.google.com/spreadsheets/d/1xfJKIQxVOaPDIICqsflNlL"&amp;"u3JacTDk1FP9RH4phX7mI/edit?usp=sharing"",""พิจิตร!J777"")+IMPORTRANGE(""https://docs.google.com/spreadsheets/d/1JtRfZkJMHtEhI5RdRHxYUG4FIZHqKDpNyIuN7A1Q0_k/edit?usp=sharing"",""พิษณุโลก!J777"")+IMPORTRANGE(""https://docs.google.com/spreadsheets/d/1xlcVZWU"&amp;"Nn6SuWm0c307h32SiGkd9BaeQWlAktfD3KO8/edit?usp=sharing"",""เพชรบูรณ์!J777"")+IMPORTRANGE(""https://docs.google.com/spreadsheets/d/1lOVebEIsI9qjGXl6EX66luk7wiuP2tBaryw-wKvv4e0/edit?usp=sharing"",""แพร่!J777"")+IMPORTRANGE(""https://docs.google.com/spreadshe"&amp;"ets/d/1dQrvX0vEcN7Gu0fnZ0B5S90AeR19zth4XlExFBeExMY/edit?usp=sharing"",""แม่ฮ่องสอน!J777"")+IMPORTRANGE(""https://docs.google.com/spreadsheets/d/1DY4XTNNwjluuxqdfdn6qvOSlMRrZqUtmYcZR0ttFiG4/edit?usp=sharing"",""ลำปาง!J777"")+IMPORTRANGE(""https://docs.goog"&amp;"le.com/spreadsheets/d/1ICwG78r0OFT8biBlxnBF8r7she7gNSzOvJ958PWT09c/edit?usp=sharing"",""ลำพูน!J777"")+IMPORTRANGE(""https://docs.google.com/spreadsheets/d/1B0f2xJpZUC6Z0xXnqKlZtEPzsf6L84eP1r1Q15seqRM/edit?usp=sharing"",""สุโขทัย!J777"")+IMPORTRANGE(""http"&amp;"s://docs.google.com/spreadsheets/d/1v0b9pFQCsKUVExMei7AgY2yQkdeNQvtOssygGsXbiKo/edit?usp=sharing"",""อุตรดิตถ์!J777"")+IMPORTRANGE(""https://docs.google.com/spreadsheets/d/1UsNK1e-WWiCo2PvGqdNfdme4m17_Ezd3J69EeeiQPD0/edit?usp=sharing"",""อุทัยธานี!J777"")"),14794221.78)</f>
        <v>14794221.779999999</v>
      </c>
      <c r="K778" s="230">
        <f t="shared" ref="K778:K785" ca="1" si="534">IF(I778&gt;0,J778*100/I778,0)</f>
        <v>14.711191841199534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214"/>
      <c r="B779" s="156"/>
      <c r="C779" s="156"/>
      <c r="D779" s="156"/>
      <c r="E779" s="37"/>
      <c r="F779" s="37"/>
      <c r="G779" s="39"/>
      <c r="H779" s="131" t="s">
        <v>35</v>
      </c>
      <c r="I779" s="189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4197)</f>
        <v>4197</v>
      </c>
      <c r="J779" s="189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1287)</f>
        <v>1287</v>
      </c>
      <c r="K779" s="230">
        <f t="shared" ca="1" si="534"/>
        <v>30.664760543245176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214"/>
      <c r="B780" s="215" t="s">
        <v>292</v>
      </c>
      <c r="C780" s="156"/>
      <c r="D780" s="156"/>
      <c r="E780" s="37"/>
      <c r="F780" s="37"/>
      <c r="G780" s="39"/>
      <c r="H780" s="131" t="s">
        <v>14</v>
      </c>
      <c r="I780" s="189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111400057.24)</f>
        <v>111400057.23999999</v>
      </c>
      <c r="J780" s="189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4176119.88999999)</f>
        <v>4176119.8899999899</v>
      </c>
      <c r="K780" s="230">
        <f t="shared" ca="1" si="534"/>
        <v>3.748759195879916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214"/>
      <c r="B781" s="156"/>
      <c r="C781" s="156"/>
      <c r="D781" s="156"/>
      <c r="E781" s="37"/>
      <c r="F781" s="37"/>
      <c r="G781" s="39"/>
      <c r="H781" s="131" t="s">
        <v>35</v>
      </c>
      <c r="I781" s="189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4521)</f>
        <v>4521</v>
      </c>
      <c r="J781" s="189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681)</f>
        <v>681</v>
      </c>
      <c r="K781" s="230">
        <f t="shared" ca="1" si="534"/>
        <v>15.063039150630392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214"/>
      <c r="B782" s="215" t="s">
        <v>293</v>
      </c>
      <c r="C782" s="156"/>
      <c r="D782" s="156"/>
      <c r="E782" s="37"/>
      <c r="F782" s="37"/>
      <c r="G782" s="39"/>
      <c r="H782" s="131" t="s">
        <v>14</v>
      </c>
      <c r="I782" s="189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54234674.2099999)</f>
        <v>54234674.209999897</v>
      </c>
      <c r="J782" s="189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9340377.6)</f>
        <v>9340377.5999999996</v>
      </c>
      <c r="K782" s="230">
        <f t="shared" ca="1" si="534"/>
        <v>17.222151208714742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214"/>
      <c r="B783" s="156"/>
      <c r="C783" s="156"/>
      <c r="D783" s="156"/>
      <c r="E783" s="37"/>
      <c r="F783" s="37"/>
      <c r="G783" s="39"/>
      <c r="H783" s="131" t="s">
        <v>35</v>
      </c>
      <c r="I783" s="189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4694)</f>
        <v>4694</v>
      </c>
      <c r="J783" s="189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1552)</f>
        <v>1552</v>
      </c>
      <c r="K783" s="230">
        <f t="shared" ca="1" si="534"/>
        <v>33.063485300383469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214"/>
      <c r="B784" s="215" t="s">
        <v>294</v>
      </c>
      <c r="C784" s="156"/>
      <c r="D784" s="156"/>
      <c r="E784" s="37"/>
      <c r="F784" s="37"/>
      <c r="G784" s="39"/>
      <c r="H784" s="131" t="s">
        <v>14</v>
      </c>
      <c r="I784" s="189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111024000)</f>
        <v>111024000</v>
      </c>
      <c r="J784" s="189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13650000)</f>
        <v>13650000</v>
      </c>
      <c r="K784" s="230">
        <f t="shared" ca="1" si="534"/>
        <v>12.294638996973628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341"/>
      <c r="B785" s="6"/>
      <c r="C785" s="6"/>
      <c r="D785" s="6"/>
      <c r="E785" s="5"/>
      <c r="F785" s="5"/>
      <c r="G785" s="49"/>
      <c r="H785" s="343" t="s">
        <v>35</v>
      </c>
      <c r="I785" s="194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3859)</f>
        <v>3859</v>
      </c>
      <c r="J785" s="194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400)</f>
        <v>400</v>
      </c>
      <c r="K785" s="461">
        <f t="shared" ca="1" si="534"/>
        <v>10.365379632029024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462"/>
      <c r="B786" s="462"/>
      <c r="C786" s="462"/>
      <c r="D786" s="462"/>
      <c r="E786" s="163"/>
      <c r="F786" s="163"/>
      <c r="G786" s="163"/>
      <c r="H786" s="462"/>
      <c r="I786" s="463"/>
      <c r="J786" s="463"/>
      <c r="K786" s="464"/>
      <c r="L786" s="464"/>
      <c r="M786" s="464"/>
      <c r="N786" s="464"/>
      <c r="O786" s="464"/>
      <c r="P786" s="464"/>
      <c r="Q786" s="464"/>
      <c r="R786" s="464"/>
      <c r="S786" s="464"/>
      <c r="T786" s="464"/>
      <c r="U786" s="464"/>
    </row>
    <row r="787" spans="1:21" ht="16.5" x14ac:dyDescent="0.25">
      <c r="A787" s="465" t="s">
        <v>295</v>
      </c>
      <c r="B787" s="462"/>
      <c r="C787" s="462"/>
      <c r="D787" s="462"/>
      <c r="E787" s="163"/>
      <c r="F787" s="163"/>
      <c r="G787" s="163"/>
      <c r="H787" s="462"/>
      <c r="I787" s="463"/>
      <c r="J787" s="463"/>
      <c r="K787" s="464"/>
      <c r="L787" s="464"/>
      <c r="M787" s="464"/>
      <c r="N787" s="464"/>
      <c r="O787" s="464"/>
      <c r="P787" s="464"/>
      <c r="Q787" s="464"/>
      <c r="R787" s="464"/>
      <c r="S787" s="464"/>
      <c r="T787" s="464"/>
      <c r="U787" s="464"/>
    </row>
    <row r="788" spans="1:21" ht="16.5" x14ac:dyDescent="0.25">
      <c r="A788" s="46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462"/>
      <c r="C788" s="462"/>
      <c r="D788" s="462"/>
      <c r="E788" s="163"/>
      <c r="F788" s="163"/>
      <c r="G788" s="163"/>
      <c r="H788" s="462"/>
      <c r="I788" s="463"/>
      <c r="J788" s="463"/>
      <c r="K788" s="464"/>
      <c r="L788" s="464"/>
      <c r="M788" s="464"/>
      <c r="N788" s="464"/>
      <c r="O788" s="464"/>
      <c r="P788" s="464"/>
      <c r="Q788" s="464"/>
      <c r="R788" s="464"/>
      <c r="S788" s="464"/>
      <c r="T788" s="464"/>
      <c r="U788" s="464"/>
    </row>
  </sheetData>
  <mergeCells count="25">
    <mergeCell ref="D715:G715"/>
    <mergeCell ref="D729:G729"/>
    <mergeCell ref="D760:G760"/>
    <mergeCell ref="A6:G7"/>
    <mergeCell ref="A8:G8"/>
    <mergeCell ref="A18:G18"/>
    <mergeCell ref="A31:G31"/>
    <mergeCell ref="A57:G57"/>
    <mergeCell ref="B58:G58"/>
    <mergeCell ref="D414:G414"/>
    <mergeCell ref="D494:F494"/>
    <mergeCell ref="D600:G600"/>
    <mergeCell ref="D617:G617"/>
    <mergeCell ref="D643:G643"/>
    <mergeCell ref="D691:G691"/>
    <mergeCell ref="A1:U1"/>
    <mergeCell ref="A2:U2"/>
    <mergeCell ref="A3:U3"/>
    <mergeCell ref="N6:P6"/>
    <mergeCell ref="Q6:R6"/>
    <mergeCell ref="L5:P5"/>
    <mergeCell ref="Q5:U5"/>
    <mergeCell ref="I6:K6"/>
    <mergeCell ref="L6:M6"/>
    <mergeCell ref="S6:U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02AD-4C5C-4AC4-8363-5C8F8FFA0BF2}">
  <sheetPr>
    <outlinePr summaryBelow="0" summaryRight="0"/>
    <pageSetUpPr fitToPage="1"/>
  </sheetPr>
  <dimension ref="A1:U788"/>
  <sheetViews>
    <sheetView tabSelected="1" view="pageBreakPreview" zoomScale="60" zoomScaleNormal="100" workbookViewId="0">
      <pane xSplit="8" ySplit="7" topLeftCell="I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activeCell="G87" sqref="G87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323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2051015</v>
      </c>
      <c r="M19" s="474">
        <f t="shared" ca="1" si="0"/>
        <v>2209788</v>
      </c>
      <c r="N19" s="474">
        <f t="shared" ca="1" si="0"/>
        <v>1083057.6299999999</v>
      </c>
      <c r="O19" s="474">
        <f t="shared" ref="O19:O27" ca="1" si="1">IF(L19&gt;0,N19*100/L19,0)</f>
        <v>52.805934135050201</v>
      </c>
      <c r="P19" s="474">
        <f t="shared" ref="P19:P27" ca="1" si="2">IF(M19&gt;0,N19*100/M19,0)</f>
        <v>49.011834166897451</v>
      </c>
      <c r="Q19" s="474">
        <f t="shared" ref="Q19:S19" ca="1" si="3">Q20+Q21</f>
        <v>3070923.39</v>
      </c>
      <c r="R19" s="474">
        <f t="shared" ca="1" si="3"/>
        <v>3008423</v>
      </c>
      <c r="S19" s="474">
        <f t="shared" ca="1" si="3"/>
        <v>0</v>
      </c>
      <c r="T19" s="474">
        <f t="shared" ref="T19:T27" ca="1" si="4">IF(Q19&gt;0,S19*100/Q19,0)</f>
        <v>0</v>
      </c>
      <c r="U19" s="474">
        <f t="shared" ref="U19:U27" ca="1" si="5">IF(R19&gt;0,S19*100/R19,0)</f>
        <v>0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2051015</v>
      </c>
      <c r="M21" s="480">
        <f t="shared" ca="1" si="6"/>
        <v>2209788</v>
      </c>
      <c r="N21" s="480">
        <f t="shared" ca="1" si="6"/>
        <v>1083057.6299999999</v>
      </c>
      <c r="O21" s="480">
        <f t="shared" ca="1" si="1"/>
        <v>52.805934135050201</v>
      </c>
      <c r="P21" s="480">
        <f t="shared" ca="1" si="2"/>
        <v>49.011834166897451</v>
      </c>
      <c r="Q21" s="480">
        <f t="shared" ca="1" si="7"/>
        <v>3070923.39</v>
      </c>
      <c r="R21" s="480">
        <f t="shared" ca="1" si="7"/>
        <v>3008423</v>
      </c>
      <c r="S21" s="480">
        <f t="shared" ca="1" si="7"/>
        <v>0</v>
      </c>
      <c r="T21" s="480">
        <f t="shared" ca="1" si="4"/>
        <v>0</v>
      </c>
      <c r="U21" s="480">
        <f t="shared" ca="1" si="5"/>
        <v>0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2051015</v>
      </c>
      <c r="M22" s="230">
        <f t="shared" ca="1" si="8"/>
        <v>2209788</v>
      </c>
      <c r="N22" s="230">
        <f t="shared" ca="1" si="8"/>
        <v>1083057.6299999999</v>
      </c>
      <c r="O22" s="230">
        <f t="shared" ca="1" si="1"/>
        <v>52.805934135050201</v>
      </c>
      <c r="P22" s="230">
        <f t="shared" ca="1" si="2"/>
        <v>49.011834166897451</v>
      </c>
      <c r="Q22" s="230">
        <f t="shared" ref="Q22:S22" ca="1" si="9">Q23+Q24</f>
        <v>3070923.39</v>
      </c>
      <c r="R22" s="230">
        <f t="shared" ca="1" si="9"/>
        <v>3008423</v>
      </c>
      <c r="S22" s="230">
        <f t="shared" ca="1" si="9"/>
        <v>0</v>
      </c>
      <c r="T22" s="230">
        <f t="shared" ca="1" si="4"/>
        <v>0</v>
      </c>
      <c r="U22" s="230">
        <f t="shared" ca="1" si="5"/>
        <v>0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2051015</v>
      </c>
      <c r="M24" s="230">
        <f t="shared" ca="1" si="10"/>
        <v>2209788</v>
      </c>
      <c r="N24" s="230">
        <f t="shared" ca="1" si="10"/>
        <v>1083057.6299999999</v>
      </c>
      <c r="O24" s="230">
        <f t="shared" ca="1" si="1"/>
        <v>52.805934135050201</v>
      </c>
      <c r="P24" s="230">
        <f t="shared" ca="1" si="2"/>
        <v>49.011834166897451</v>
      </c>
      <c r="Q24" s="230">
        <f t="shared" ca="1" si="11"/>
        <v>3070923.39</v>
      </c>
      <c r="R24" s="230">
        <f t="shared" ca="1" si="11"/>
        <v>3008423</v>
      </c>
      <c r="S24" s="230">
        <f t="shared" ca="1" si="11"/>
        <v>0</v>
      </c>
      <c r="T24" s="230">
        <f t="shared" ca="1" si="4"/>
        <v>0</v>
      </c>
      <c r="U24" s="230">
        <f t="shared" ca="1" si="5"/>
        <v>0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2051015</v>
      </c>
      <c r="M41" s="487">
        <f t="shared" ca="1" si="16"/>
        <v>2209788</v>
      </c>
      <c r="N41" s="487">
        <f t="shared" ca="1" si="16"/>
        <v>1083057.6299999999</v>
      </c>
      <c r="O41" s="487">
        <f ca="1">IF(L41&gt;0,N41*100/L41,0)</f>
        <v>52.805934135050201</v>
      </c>
      <c r="P41" s="487">
        <f ca="1">IF(M41&gt;0,N41*100/M41,0)</f>
        <v>49.011834166897451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300800</v>
      </c>
      <c r="M45" s="491">
        <f t="shared" ca="1" si="17"/>
        <v>311703</v>
      </c>
      <c r="N45" s="491">
        <f t="shared" ca="1" si="17"/>
        <v>211590</v>
      </c>
      <c r="O45" s="491">
        <f t="shared" ref="O45:O53" ca="1" si="18">IF(L45&gt;0,N45*100/L45,0)</f>
        <v>70.342420212765958</v>
      </c>
      <c r="P45" s="491">
        <f t="shared" ref="P45:P53" ca="1" si="19">IF(M45&gt;0,N45*100/M45,0)</f>
        <v>67.881926064234221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300800</v>
      </c>
      <c r="M47" s="497">
        <f t="shared" ca="1" si="23"/>
        <v>311703</v>
      </c>
      <c r="N47" s="497">
        <f t="shared" ca="1" si="23"/>
        <v>211590</v>
      </c>
      <c r="O47" s="497">
        <f t="shared" ca="1" si="18"/>
        <v>70.342420212765958</v>
      </c>
      <c r="P47" s="497">
        <f t="shared" ca="1" si="19"/>
        <v>67.881926064234221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300800</v>
      </c>
      <c r="M48" s="230">
        <f t="shared" ca="1" si="25"/>
        <v>311703</v>
      </c>
      <c r="N48" s="230">
        <f t="shared" ca="1" si="25"/>
        <v>211590</v>
      </c>
      <c r="O48" s="230">
        <f t="shared" ca="1" si="18"/>
        <v>70.342420212765958</v>
      </c>
      <c r="P48" s="230">
        <f t="shared" ca="1" si="19"/>
        <v>67.881926064234221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IFERROR(__xludf.DUMMYFUNCTION("IMPORTRANGE(""https://docs.google.com/spreadsheets/d/1-uDff_7J0KD5mKrp0Vvzr7lt3OU09vwQwhkpOPPYv2Y/edit?usp=sharing"",""งบพรบ!P22"")"),300800)</f>
        <v>300800</v>
      </c>
      <c r="M50" s="230">
        <f ca="1">IFERROR(__xludf.DUMMYFUNCTION("IMPORTRANGE(""https://docs.google.com/spreadsheets/d/1-uDff_7J0KD5mKrp0Vvzr7lt3OU09vwQwhkpOPPYv2Y/edit?usp=sharing"",""งบพรบ!V22"")"),311703)</f>
        <v>311703</v>
      </c>
      <c r="N50" s="230">
        <f ca="1">IFERROR(__xludf.DUMMYFUNCTION("IMPORTRANGE(""https://docs.google.com/spreadsheets/d/1-uDff_7J0KD5mKrp0Vvzr7lt3OU09vwQwhkpOPPYv2Y/edit?usp=sharing"",""งบพรบ!Y22"")"),211590)</f>
        <v>211590</v>
      </c>
      <c r="O50" s="230">
        <f t="shared" ca="1" si="18"/>
        <v>70.342420212765958</v>
      </c>
      <c r="P50" s="230">
        <f t="shared" ca="1" si="19"/>
        <v>67.881926064234221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IFERROR(__xludf.DUMMYFUNCTION("IMPORTRANGE(""https://docs.google.com/spreadsheets/d/1-uDff_7J0KD5mKrp0Vvzr7lt3OU09vwQwhkpOPPYv2Y/edit?usp=sharing"",""งบพรบ!S22"")"),0)</f>
        <v>0</v>
      </c>
      <c r="M53" s="230">
        <f ca="1">IFERROR(__xludf.DUMMYFUNCTION("IMPORTRANGE(""https://docs.google.com/spreadsheets/d/1-uDff_7J0KD5mKrp0Vvzr7lt3OU09vwQwhkpOPPYv2Y/edit?usp=sharing"",""งบพรบ!W22"")"),0)</f>
        <v>0</v>
      </c>
      <c r="N53" s="230">
        <f ca="1">IFERROR(__xludf.DUMMYFUNCTION("IMPORTRANGE(""https://docs.google.com/spreadsheets/d/1-uDff_7J0KD5mKrp0Vvzr7lt3OU09vwQwhkpOPPYv2Y/edit?usp=sharing"",""งบพรบ!Z22"")"),0)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702500</v>
      </c>
      <c r="M60" s="502">
        <f t="shared" ca="1" si="29"/>
        <v>799870</v>
      </c>
      <c r="N60" s="502">
        <f t="shared" ca="1" si="29"/>
        <v>554139.31999999995</v>
      </c>
      <c r="O60" s="502">
        <f t="shared" ref="O60:O68" ca="1" si="30">IF(L60&gt;0,N60*100/L60,0)</f>
        <v>78.881041992882558</v>
      </c>
      <c r="P60" s="502">
        <f t="shared" ref="P60:P68" ca="1" si="31">IF(M60&gt;0,N60*100/M60,0)</f>
        <v>69.278672784327441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702500</v>
      </c>
      <c r="M62" s="508">
        <f t="shared" ca="1" si="35"/>
        <v>799870</v>
      </c>
      <c r="N62" s="508">
        <f t="shared" ca="1" si="35"/>
        <v>554139.31999999995</v>
      </c>
      <c r="O62" s="508">
        <f t="shared" ca="1" si="30"/>
        <v>78.881041992882558</v>
      </c>
      <c r="P62" s="508">
        <f t="shared" ca="1" si="31"/>
        <v>69.278672784327441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702500</v>
      </c>
      <c r="M63" s="230">
        <f t="shared" ca="1" si="37"/>
        <v>799870</v>
      </c>
      <c r="N63" s="230">
        <f t="shared" ca="1" si="37"/>
        <v>554139.31999999995</v>
      </c>
      <c r="O63" s="230">
        <f t="shared" ca="1" si="30"/>
        <v>78.881041992882558</v>
      </c>
      <c r="P63" s="230">
        <f t="shared" ca="1" si="31"/>
        <v>69.278672784327441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IFERROR(__xludf.DUMMYFUNCTION("IMPORTRANGE(""https://docs.google.com/spreadsheets/d/1-uDff_7J0KD5mKrp0Vvzr7lt3OU09vwQwhkpOPPYv2Y/edit?usp=sharing"",""งบพรบ!AC22"")"),702500)</f>
        <v>702500</v>
      </c>
      <c r="M65" s="230">
        <f ca="1">IFERROR(__xludf.DUMMYFUNCTION("IMPORTRANGE(""https://docs.google.com/spreadsheets/d/1-uDff_7J0KD5mKrp0Vvzr7lt3OU09vwQwhkpOPPYv2Y/edit?usp=sharing"",""งบพรบ!AH22"")"),799870)</f>
        <v>799870</v>
      </c>
      <c r="N65" s="230">
        <f ca="1">IFERROR(__xludf.DUMMYFUNCTION("IMPORTRANGE(""https://docs.google.com/spreadsheets/d/1-uDff_7J0KD5mKrp0Vvzr7lt3OU09vwQwhkpOPPYv2Y/edit?usp=sharing"",""งบพรบ!AJ22"")"),554139.32)</f>
        <v>554139.31999999995</v>
      </c>
      <c r="O65" s="230">
        <f t="shared" ca="1" si="30"/>
        <v>78.881041992882558</v>
      </c>
      <c r="P65" s="230">
        <f t="shared" ca="1" si="31"/>
        <v>69.278672784327441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IFERROR(__xludf.DUMMYFUNCTION("IMPORTRANGE(""https://docs.google.com/spreadsheets/d/1-uDff_7J0KD5mKrp0Vvzr7lt3OU09vwQwhkpOPPYv2Y/edit?usp=sharing"",""งบพรบ!AF22"")"),0)</f>
        <v>0</v>
      </c>
      <c r="M68" s="461">
        <f ca="1">IFERROR(__xludf.DUMMYFUNCTION("IMPORTRANGE(""https://docs.google.com/spreadsheets/d/1-uDff_7J0KD5mKrp0Vvzr7lt3OU09vwQwhkpOPPYv2Y/edit?usp=sharing"",""งบพรบ!AI22"")"),0)</f>
        <v>0</v>
      </c>
      <c r="N68" s="461">
        <f ca="1">IFERROR(__xludf.DUMMYFUNCTION("IMPORTRANGE(""https://docs.google.com/spreadsheets/d/1-uDff_7J0KD5mKrp0Vvzr7lt3OU09vwQwhkpOPPYv2Y/edit?usp=sharing"",""งบพรบ!AK22"")"),0)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2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114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150000</v>
      </c>
      <c r="M73" s="515">
        <f t="shared" ca="1" si="43"/>
        <v>150000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1090780</v>
      </c>
      <c r="R73" s="515">
        <f t="shared" ca="1" si="46"/>
        <v>1090780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150000</v>
      </c>
      <c r="M75" s="230">
        <f t="shared" ca="1" si="49"/>
        <v>150000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1090780</v>
      </c>
      <c r="R75" s="230">
        <f t="shared" ca="1" si="50"/>
        <v>1090780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150000</v>
      </c>
      <c r="M76" s="230">
        <f t="shared" ca="1" si="51"/>
        <v>150000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1090780</v>
      </c>
      <c r="R76" s="230">
        <f t="shared" ca="1" si="52"/>
        <v>1090780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IFERROR(__xludf.DUMMYFUNCTION("IMPORTRANGE(""https://docs.google.com/spreadsheets/d/1-uDff_7J0KD5mKrp0Vvzr7lt3OU09vwQwhkpOPPYv2Y/edit?usp=sharing"",""งบพรบ!AM22"")"),150000)</f>
        <v>150000</v>
      </c>
      <c r="M78" s="230">
        <f ca="1">IFERROR(__xludf.DUMMYFUNCTION("IMPORTRANGE(""https://docs.google.com/spreadsheets/d/1-uDff_7J0KD5mKrp0Vvzr7lt3OU09vwQwhkpOPPYv2Y/edit?usp=sharing"",""งบพรบ!AR22"")"),150000)</f>
        <v>150000</v>
      </c>
      <c r="N78" s="230">
        <f ca="1">IFERROR(__xludf.DUMMYFUNCTION("IMPORTRANGE(""https://docs.google.com/spreadsheets/d/1-uDff_7J0KD5mKrp0Vvzr7lt3OU09vwQwhkpOPPYv2Y/edit?usp=sharing"",""งบพรบ!AT22"")"),0)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IFERROR(__xludf.DUMMYFUNCTION("IMPORTRANGE(""https://docs.google.com/spreadsheets/d/1ItG2mGa2ceCfYo0BwxsXqNm01IGEUdYcSSLTEv9YCik/edit?usp=sharing"",""เบิกจ่ายกองทุน!AS22"")"),1090780)</f>
        <v>1090780</v>
      </c>
      <c r="R78" s="230">
        <f ca="1">IFERROR(__xludf.DUMMYFUNCTION("IMPORTRANGE(""https://docs.google.com/spreadsheets/d/1ItG2mGa2ceCfYo0BwxsXqNm01IGEUdYcSSLTEv9YCik/edit?usp=sharing"",""เบิกจ่ายกองทุน!AT22"")"),1090780)</f>
        <v>1090780</v>
      </c>
      <c r="S78" s="230">
        <f ca="1">IFERROR(__xludf.DUMMYFUNCTION("IMPORTRANGE(""https://docs.google.com/spreadsheets/d/1ItG2mGa2ceCfYo0BwxsXqNm01IGEUdYcSSLTEv9YCik/edit?usp=sharing"",""เบิกจ่ายกองทุน!AU22"")"),0)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IFERROR(__xludf.DUMMYFUNCTION("IMPORTRANGE(""https://docs.google.com/spreadsheets/d/1-uDff_7J0KD5mKrp0Vvzr7lt3OU09vwQwhkpOPPYv2Y/edit?usp=sharing"",""งบพรบ!AP22"")"),0)</f>
        <v>0</v>
      </c>
      <c r="M81" s="230">
        <f ca="1">IFERROR(__xludf.DUMMYFUNCTION("IMPORTRANGE(""https://docs.google.com/spreadsheets/d/1-uDff_7J0KD5mKrp0Vvzr7lt3OU09vwQwhkpOPPYv2Y/edit?usp=sharing"",""งบพรบ!AS22"")"),0)</f>
        <v>0</v>
      </c>
      <c r="N81" s="230">
        <f ca="1">IFERROR(__xludf.DUMMYFUNCTION("IMPORTRANGE(""https://docs.google.com/spreadsheets/d/1-uDff_7J0KD5mKrp0Vvzr7lt3OU09vwQwhkpOPPYv2Y/edit?usp=sharing"",""งบพรบ!AU22"")"),0)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2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114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IFERROR(__xludf.DUMMYFUNCTION("IMPORTRANGE(""https://docs.google.com/spreadsheets/d/1eHaY18a8A9IcSdp1K8H6x8fbOy06t2VsZHhMHf-1x7Y/edit?usp=sharing"",""แผน!H22"")"),0)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IFERROR(__xludf.DUMMYFUNCTION("IMPORTRANGE(""https://docs.google.com/spreadsheets/d/1eHaY18a8A9IcSdp1K8H6x8fbOy06t2VsZHhMHf-1x7Y/edit?usp=sharing"",""แผน!I22"")"),0)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IFERROR(__xludf.DUMMYFUNCTION("IMPORTRANGE(""https://docs.google.com/spreadsheets/d/1eHaY18a8A9IcSdp1K8H6x8fbOy06t2VsZHhMHf-1x7Y/edit?usp=sharing"",""แผน!F22"")"),2)</f>
        <v>2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IFERROR(__xludf.DUMMYFUNCTION("IMPORTRANGE(""https://docs.google.com/spreadsheets/d/1eHaY18a8A9IcSdp1K8H6x8fbOy06t2VsZHhMHf-1x7Y/edit?usp=sharing"",""แผน!G22"")"),114)</f>
        <v>114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IFERROR(__xludf.DUMMYFUNCTION("IMPORTRANGE(""https://docs.google.com/spreadsheets/d/1eHaY18a8A9IcSdp1K8H6x8fbOy06t2VsZHhMHf-1x7Y/edit?usp=sharing"",""แผน!D22"")"),0)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IFERROR(__xludf.DUMMYFUNCTION("IMPORTRANGE(""https://docs.google.com/spreadsheets/d/1eHaY18a8A9IcSdp1K8H6x8fbOy06t2VsZHhMHf-1x7Y/edit?usp=sharing"",""แผน!E22"")"),0)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IFERROR(__xludf.DUMMYFUNCTION("IMPORTRANGE(""https://docs.google.com/spreadsheets/d/1eHaY18a8A9IcSdp1K8H6x8fbOy06t2VsZHhMHf-1x7Y/edit?usp=sharing"",""แผน!J22"")"),2)</f>
        <v>2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60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20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39000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129840</v>
      </c>
      <c r="R95" s="515">
        <f t="shared" ca="1" si="62"/>
        <v>129840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39000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129840</v>
      </c>
      <c r="R97" s="230">
        <f t="shared" ca="1" si="66"/>
        <v>129840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39000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129840</v>
      </c>
      <c r="R98" s="230">
        <f t="shared" ca="1" si="68"/>
        <v>129840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IFERROR(__xludf.DUMMYFUNCTION("IMPORTRANGE(""https://docs.google.com/spreadsheets/d/1-uDff_7J0KD5mKrp0Vvzr7lt3OU09vwQwhkpOPPYv2Y/edit?usp=sharing"",""งบพรบ!AW22"")"),0)</f>
        <v>0</v>
      </c>
      <c r="M100" s="230">
        <f ca="1">IFERROR(__xludf.DUMMYFUNCTION("IMPORTRANGE(""https://docs.google.com/spreadsheets/d/1-uDff_7J0KD5mKrp0Vvzr7lt3OU09vwQwhkpOPPYv2Y/edit?usp=sharing"",""งบพรบ!BB22"")"),39000)</f>
        <v>39000</v>
      </c>
      <c r="N100" s="230">
        <f ca="1">IFERROR(__xludf.DUMMYFUNCTION("IMPORTRANGE(""https://docs.google.com/spreadsheets/d/1-uDff_7J0KD5mKrp0Vvzr7lt3OU09vwQwhkpOPPYv2Y/edit?usp=sharing"",""งบพรบ!BD22"")"),0)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IFERROR(__xludf.DUMMYFUNCTION("IMPORTRANGE(""https://docs.google.com/spreadsheets/d/1ItG2mGa2ceCfYo0BwxsXqNm01IGEUdYcSSLTEv9YCik/edit?usp=sharing"",""เบิกจ่ายกองทุน!AD22"")"),129840)</f>
        <v>129840</v>
      </c>
      <c r="R100" s="230">
        <f ca="1">IFERROR(__xludf.DUMMYFUNCTION("IMPORTRANGE(""https://docs.google.com/spreadsheets/d/1ItG2mGa2ceCfYo0BwxsXqNm01IGEUdYcSSLTEv9YCik/edit?usp=sharing"",""เบิกจ่ายกองทุน!AE22"")"),129840)</f>
        <v>129840</v>
      </c>
      <c r="S100" s="230">
        <f ca="1">IFERROR(__xludf.DUMMYFUNCTION("IMPORTRANGE(""https://docs.google.com/spreadsheets/d/1ItG2mGa2ceCfYo0BwxsXqNm01IGEUdYcSSLTEv9YCik/edit?usp=sharing"",""เบิกจ่ายกองทุน!AF22"")"),0)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IFERROR(__xludf.DUMMYFUNCTION("IMPORTRANGE(""https://docs.google.com/spreadsheets/d/1-uDff_7J0KD5mKrp0Vvzr7lt3OU09vwQwhkpOPPYv2Y/edit?usp=sharing"",""งบพรบ!AZ22"")"),0)</f>
        <v>0</v>
      </c>
      <c r="M103" s="230">
        <f ca="1">IFERROR(__xludf.DUMMYFUNCTION("IMPORTRANGE(""https://docs.google.com/spreadsheets/d/1-uDff_7J0KD5mKrp0Vvzr7lt3OU09vwQwhkpOPPYv2Y/edit?usp=sharing"",""งบพรบ!BC22"")"),0)</f>
        <v>0</v>
      </c>
      <c r="N103" s="230">
        <f ca="1">IFERROR(__xludf.DUMMYFUNCTION("IMPORTRANGE(""https://docs.google.com/spreadsheets/d/1-uDff_7J0KD5mKrp0Vvzr7lt3OU09vwQwhkpOPPYv2Y/edit?usp=sharing"",""งบพรบ!BE22"")"),0)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IFERROR(__xludf.DUMMYFUNCTION("IMPORTRANGE(""https://docs.google.com/spreadsheets/d/1eHaY18a8A9IcSdp1K8H6x8fbOy06t2VsZHhMHf-1x7Y/edit?usp=sharing"",""แผน!N22"")"),60)</f>
        <v>60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IFERROR(__xludf.DUMMYFUNCTION("IMPORTRANGE(""https://docs.google.com/spreadsheets/d/1eHaY18a8A9IcSdp1K8H6x8fbOy06t2VsZHhMHf-1x7Y/edit?usp=sharing"",""แผน!O22"")"),20)</f>
        <v>20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IFERROR(__xludf.DUMMYFUNCTION("IMPORTRANGE(""https://docs.google.com/spreadsheets/d/1eHaY18a8A9IcSdp1K8H6x8fbOy06t2VsZHhMHf-1x7Y/edit?usp=sharing"",""แผน!S22"")"),0)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IFERROR(__xludf.DUMMYFUNCTION("IMPORTRANGE(""https://docs.google.com/spreadsheets/d/1eHaY18a8A9IcSdp1K8H6x8fbOy06t2VsZHhMHf-1x7Y/edit?usp=sharing"",""แผน!R22"")"),20)</f>
        <v>20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20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209360</v>
      </c>
      <c r="R118" s="515">
        <f t="shared" ca="1" si="77"/>
        <v>209360</v>
      </c>
      <c r="S118" s="515">
        <f t="shared" ca="1" si="77"/>
        <v>0</v>
      </c>
      <c r="T118" s="515">
        <f t="shared" ref="T118:T126" ca="1" si="78">IF(Q118&gt;0,S118*100/Q118,0)</f>
        <v>0</v>
      </c>
      <c r="U118" s="515">
        <f t="shared" ref="U118:U126" ca="1" si="79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209360</v>
      </c>
      <c r="R120" s="230">
        <f t="shared" ca="1" si="81"/>
        <v>209360</v>
      </c>
      <c r="S120" s="230">
        <f t="shared" ca="1" si="81"/>
        <v>0</v>
      </c>
      <c r="T120" s="230">
        <f t="shared" ca="1" si="78"/>
        <v>0</v>
      </c>
      <c r="U120" s="230">
        <f t="shared" ca="1" si="79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209360</v>
      </c>
      <c r="R121" s="230">
        <f t="shared" ca="1" si="83"/>
        <v>209360</v>
      </c>
      <c r="S121" s="230">
        <f t="shared" ca="1" si="83"/>
        <v>0</v>
      </c>
      <c r="T121" s="230">
        <f t="shared" ca="1" si="78"/>
        <v>0</v>
      </c>
      <c r="U121" s="230">
        <f t="shared" ca="1" si="79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IFERROR(__xludf.DUMMYFUNCTION("IMPORTRANGE(""https://docs.google.com/spreadsheets/d/1-uDff_7J0KD5mKrp0Vvzr7lt3OU09vwQwhkpOPPYv2Y/edit?usp=sharing"",""งบพรบ!BG22"")"),0)</f>
        <v>0</v>
      </c>
      <c r="M123" s="230">
        <f ca="1">IFERROR(__xludf.DUMMYFUNCTION("IMPORTRANGE(""https://docs.google.com/spreadsheets/d/1-uDff_7J0KD5mKrp0Vvzr7lt3OU09vwQwhkpOPPYv2Y/edit?usp=sharing"",""งบพรบ!BL22"")"),0)</f>
        <v>0</v>
      </c>
      <c r="N123" s="230">
        <f ca="1">IFERROR(__xludf.DUMMYFUNCTION("IMPORTRANGE(""https://docs.google.com/spreadsheets/d/1-uDff_7J0KD5mKrp0Vvzr7lt3OU09vwQwhkpOPPYv2Y/edit?usp=sharing"",""งบพรบ!BN22"")"),0)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IFERROR(__xludf.DUMMYFUNCTION("IMPORTRANGE(""https://docs.google.com/spreadsheets/d/1ItG2mGa2ceCfYo0BwxsXqNm01IGEUdYcSSLTEv9YCik/edit?usp=sharing"",""เบิกจ่ายกองทุน!R22"")"),209360)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IFERROR(__xludf.DUMMYFUNCTION("IMPORTRANGE(""https://docs.google.com/spreadsheets/d/1ItG2mGa2ceCfYo0BwxsXqNm01IGEUdYcSSLTEv9YCik/edit?usp=sharing"",""เบิกจ่ายกองทุน!S22"")"),209360)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IFERROR(__xludf.DUMMYFUNCTION("IMPORTRANGE(""https://docs.google.com/spreadsheets/d/1ItG2mGa2ceCfYo0BwxsXqNm01IGEUdYcSSLTEv9YCik/edit?usp=sharing"",""เบิกจ่ายกองทุน!T22"")"),0)</f>
        <v>0</v>
      </c>
      <c r="T123" s="230">
        <f t="shared" ca="1" si="78"/>
        <v>0</v>
      </c>
      <c r="U123" s="230">
        <f t="shared" ca="1" si="79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IFERROR(__xludf.DUMMYFUNCTION("IMPORTRANGE(""https://docs.google.com/spreadsheets/d/1-uDff_7J0KD5mKrp0Vvzr7lt3OU09vwQwhkpOPPYv2Y/edit?usp=sharing"",""งบพรบ!BJ22"")"),0)</f>
        <v>0</v>
      </c>
      <c r="M126" s="230">
        <f ca="1">IFERROR(__xludf.DUMMYFUNCTION("IMPORTRANGE(""https://docs.google.com/spreadsheets/d/1-uDff_7J0KD5mKrp0Vvzr7lt3OU09vwQwhkpOPPYv2Y/edit?usp=sharing"",""งบพรบ!BM22"")"),0)</f>
        <v>0</v>
      </c>
      <c r="N126" s="230">
        <f ca="1">IFERROR(__xludf.DUMMYFUNCTION("IMPORTRANGE(""https://docs.google.com/spreadsheets/d/1-uDff_7J0KD5mKrp0Vvzr7lt3OU09vwQwhkpOPPYv2Y/edit?usp=sharing"",""งบพรบ!BO22"")"),0)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IFERROR(__xludf.DUMMYFUNCTION("IMPORTRANGE(""https://docs.google.com/spreadsheets/d/1eHaY18a8A9IcSdp1K8H6x8fbOy06t2VsZHhMHf-1x7Y/edit?usp=sharing"",""แผน!FF22"")"),20)</f>
        <v>20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IFERROR(__xludf.DUMMYFUNCTION("IMPORTRANGE(""https://docs.google.com/spreadsheets/d/1eHaY18a8A9IcSdp1K8H6x8fbOy06t2VsZHhMHf-1x7Y/edit?usp=sharing"",""แผน!FG22"")"),0)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IFERROR(__xludf.DUMMYFUNCTION("IMPORTRANGE(""https://docs.google.com/spreadsheets/d/1eHaY18a8A9IcSdp1K8H6x8fbOy06t2VsZHhMHf-1x7Y/edit?usp=sharing"",""แผน!FH22"")"),20)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IFERROR(__xludf.DUMMYFUNCTION("IMPORTRANGE(""https://docs.google.com/spreadsheets/d/1eHaY18a8A9IcSdp1K8H6x8fbOy06t2VsZHhMHf-1x7Y/edit?usp=sharing"",""แผน!FI22"")"),0)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0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0</v>
      </c>
      <c r="M140" s="515">
        <f t="shared" ca="1" si="90"/>
        <v>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0</v>
      </c>
      <c r="M142" s="230">
        <f t="shared" ca="1" si="96"/>
        <v>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0</v>
      </c>
      <c r="M143" s="230">
        <f t="shared" ca="1" si="98"/>
        <v>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IFERROR(__xludf.DUMMYFUNCTION("IMPORTRANGE(""https://docs.google.com/spreadsheets/d/1-uDff_7J0KD5mKrp0Vvzr7lt3OU09vwQwhkpOPPYv2Y/edit?usp=sharing"",""งบพรบ!BQ22"")"),0)</f>
        <v>0</v>
      </c>
      <c r="M145" s="230">
        <f ca="1">IFERROR(__xludf.DUMMYFUNCTION("IMPORTRANGE(""https://docs.google.com/spreadsheets/d/1-uDff_7J0KD5mKrp0Vvzr7lt3OU09vwQwhkpOPPYv2Y/edit?usp=sharing"",""งบพรบ!BV22"")"),0)</f>
        <v>0</v>
      </c>
      <c r="N145" s="230">
        <f ca="1">IFERROR(__xludf.DUMMYFUNCTION("IMPORTRANGE(""https://docs.google.com/spreadsheets/d/1-uDff_7J0KD5mKrp0Vvzr7lt3OU09vwQwhkpOPPYv2Y/edit?usp=sharing"",""งบพรบ!BX22"")"),0)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IFERROR(__xludf.DUMMYFUNCTION("IMPORTRANGE(""https://docs.google.com/spreadsheets/d/1ItG2mGa2ceCfYo0BwxsXqNm01IGEUdYcSSLTEv9YCik/edit?usp=sharing"",""เบิกจ่ายกองทุน!BB22"")"),0)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IFERROR(__xludf.DUMMYFUNCTION("IMPORTRANGE(""https://docs.google.com/spreadsheets/d/1ItG2mGa2ceCfYo0BwxsXqNm01IGEUdYcSSLTEv9YCik/edit?usp=sharing"",""เบิกจ่ายกองทุน!BC22"")"),0)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IFERROR(__xludf.DUMMYFUNCTION("IMPORTRANGE(""https://docs.google.com/spreadsheets/d/1ItG2mGa2ceCfYo0BwxsXqNm01IGEUdYcSSLTEv9YCik/edit?usp=sharing"",""เบิกจ่ายกองทุน!BD22"")"),0)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IFERROR(__xludf.DUMMYFUNCTION("IMPORTRANGE(""https://docs.google.com/spreadsheets/d/1-uDff_7J0KD5mKrp0Vvzr7lt3OU09vwQwhkpOPPYv2Y/edit?usp=sharing"",""งบพรบ!BT22"")"),0)</f>
        <v>0</v>
      </c>
      <c r="M148" s="230">
        <f ca="1">IFERROR(__xludf.DUMMYFUNCTION("IMPORTRANGE(""https://docs.google.com/spreadsheets/d/1-uDff_7J0KD5mKrp0Vvzr7lt3OU09vwQwhkpOPPYv2Y/edit?usp=sharing"",""งบพรบ!BW22"")"),0)</f>
        <v>0</v>
      </c>
      <c r="N148" s="230">
        <f ca="1">IFERROR(__xludf.DUMMYFUNCTION("IMPORTRANGE(""https://docs.google.com/spreadsheets/d/1-uDff_7J0KD5mKrp0Vvzr7lt3OU09vwQwhkpOPPYv2Y/edit?usp=sharing"",""งบพรบ!BY22"")"),0)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IFERROR(__xludf.DUMMYFUNCTION("IMPORTRANGE(""https://docs.google.com/spreadsheets/d/1eHaY18a8A9IcSdp1K8H6x8fbOy06t2VsZHhMHf-1x7Y/edit?usp=sharing"",""แผน!U22"")"),0)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IFERROR(__xludf.DUMMYFUNCTION("IMPORTRANGE(""https://docs.google.com/spreadsheets/d/1eHaY18a8A9IcSdp1K8H6x8fbOy06t2VsZHhMHf-1x7Y/edit?usp=sharing"",""แผน!V22"")"),0)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IFERROR(__xludf.DUMMYFUNCTION("IMPORTRANGE(""https://docs.google.com/spreadsheets/d/1eHaY18a8A9IcSdp1K8H6x8fbOy06t2VsZHhMHf-1x7Y/edit?usp=sharing"",""แผน!W22"")"),0)</f>
        <v>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IFERROR(__xludf.DUMMYFUNCTION("IMPORTRANGE(""https://docs.google.com/spreadsheets/d/1eHaY18a8A9IcSdp1K8H6x8fbOy06t2VsZHhMHf-1x7Y/edit?usp=sharing"",""แผน!X22"")"),0)</f>
        <v>0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IFERROR(__xludf.DUMMYFUNCTION("IMPORTRANGE(""https://docs.google.com/spreadsheets/d/1eHaY18a8A9IcSdp1K8H6x8fbOy06t2VsZHhMHf-1x7Y/edit?usp=sharing"",""แผน!Y22"")"),0)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I170</f>
        <v>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0</v>
      </c>
      <c r="M158" s="515">
        <f t="shared" ca="1" si="104"/>
        <v>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0</v>
      </c>
      <c r="M160" s="230">
        <f t="shared" ca="1" si="110"/>
        <v>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0</v>
      </c>
      <c r="M161" s="230">
        <f t="shared" ca="1" si="112"/>
        <v>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IFERROR(__xludf.DUMMYFUNCTION("IMPORTRANGE(""https://docs.google.com/spreadsheets/d/1-uDff_7J0KD5mKrp0Vvzr7lt3OU09vwQwhkpOPPYv2Y/edit?usp=sharing"",""งบพรบ!CA22"")"),0)</f>
        <v>0</v>
      </c>
      <c r="M163" s="230">
        <f ca="1">IFERROR(__xludf.DUMMYFUNCTION("IMPORTRANGE(""https://docs.google.com/spreadsheets/d/1-uDff_7J0KD5mKrp0Vvzr7lt3OU09vwQwhkpOPPYv2Y/edit?usp=sharing"",""งบพรบ!CF22"")"),0)</f>
        <v>0</v>
      </c>
      <c r="N163" s="230">
        <f ca="1">IFERROR(__xludf.DUMMYFUNCTION("IMPORTRANGE(""https://docs.google.com/spreadsheets/d/1-uDff_7J0KD5mKrp0Vvzr7lt3OU09vwQwhkpOPPYv2Y/edit?usp=sharing"",""งบพรบ!CH22"")"),0)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IFERROR(__xludf.DUMMYFUNCTION("IMPORTRANGE(""https://docs.google.com/spreadsheets/d/1ItG2mGa2ceCfYo0BwxsXqNm01IGEUdYcSSLTEv9YCik/edit?usp=sharing"",""เบิกจ่ายกองทุน!AG22"")"),0)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IFERROR(__xludf.DUMMYFUNCTION("IMPORTRANGE(""https://docs.google.com/spreadsheets/d/1ItG2mGa2ceCfYo0BwxsXqNm01IGEUdYcSSLTEv9YCik/edit?usp=sharing"",""เบิกจ่ายกองทุน!AH22"")"),0)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IFERROR(__xludf.DUMMYFUNCTION("IMPORTRANGE(""https://docs.google.com/spreadsheets/d/1ItG2mGa2ceCfYo0BwxsXqNm01IGEUdYcSSLTEv9YCik/edit?usp=sharing"",""เบิกจ่ายกองทุน!AI22"")"),0)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IFERROR(__xludf.DUMMYFUNCTION("IMPORTRANGE(""https://docs.google.com/spreadsheets/d/1-uDff_7J0KD5mKrp0Vvzr7lt3OU09vwQwhkpOPPYv2Y/edit?usp=sharing"",""งบพรบ!CD22"")"),0)</f>
        <v>0</v>
      </c>
      <c r="M166" s="230">
        <f ca="1">IFERROR(__xludf.DUMMYFUNCTION("IMPORTRANGE(""https://docs.google.com/spreadsheets/d/1-uDff_7J0KD5mKrp0Vvzr7lt3OU09vwQwhkpOPPYv2Y/edit?usp=sharing"",""งบพรบ!CG22"")"),0)</f>
        <v>0</v>
      </c>
      <c r="N166" s="230">
        <f ca="1">IFERROR(__xludf.DUMMYFUNCTION("IMPORTRANGE(""https://docs.google.com/spreadsheets/d/1-uDff_7J0KD5mKrp0Vvzr7lt3OU09vwQwhkpOPPYv2Y/edit?usp=sharing"",""งบพรบ!CI22"")"),0)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IFERROR(__xludf.DUMMYFUNCTION("IMPORTRANGE(""https://docs.google.com/spreadsheets/d/1eHaY18a8A9IcSdp1K8H6x8fbOy06t2VsZHhMHf-1x7Y/edit?usp=sharing"",""แผน!Z22"")"),0)</f>
        <v>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IFERROR(__xludf.DUMMYFUNCTION("IMPORTRANGE(""https://docs.google.com/spreadsheets/d/1eHaY18a8A9IcSdp1K8H6x8fbOy06t2VsZHhMHf-1x7Y/edit?usp=sharing"",""แผน!Z22"")"),0)</f>
        <v>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IFERROR(__xludf.DUMMYFUNCTION("IMPORTRANGE(""https://docs.google.com/spreadsheets/d/1eHaY18a8A9IcSdp1K8H6x8fbOy06t2VsZHhMHf-1x7Y/edit?usp=sharing"",""แผน!Z22"")"),0)</f>
        <v>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31390</v>
      </c>
      <c r="N174" s="515">
        <f t="shared" ca="1" si="118"/>
        <v>0</v>
      </c>
      <c r="O174" s="515">
        <f t="shared" ref="O174:O182" ca="1" si="119">IF(L174&gt;0,N174*100/L174,0)</f>
        <v>0</v>
      </c>
      <c r="P174" s="515">
        <f t="shared" ref="P174:P182" ca="1" si="120">IF(M174&gt;0,N174*100/M174,0)</f>
        <v>0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31390</v>
      </c>
      <c r="N176" s="230">
        <f t="shared" ca="1" si="124"/>
        <v>0</v>
      </c>
      <c r="O176" s="230">
        <f t="shared" ca="1" si="119"/>
        <v>0</v>
      </c>
      <c r="P176" s="230">
        <f t="shared" ca="1" si="120"/>
        <v>0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31390</v>
      </c>
      <c r="N177" s="230">
        <f t="shared" ca="1" si="126"/>
        <v>0</v>
      </c>
      <c r="O177" s="230">
        <f t="shared" ca="1" si="119"/>
        <v>0</v>
      </c>
      <c r="P177" s="230">
        <f t="shared" ca="1" si="120"/>
        <v>0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IFERROR(__xludf.DUMMYFUNCTION("IMPORTRANGE(""https://docs.google.com/spreadsheets/d/1-uDff_7J0KD5mKrp0Vvzr7lt3OU09vwQwhkpOPPYv2Y/edit?usp=sharing"",""งบพรบ!CK22"")"),19590)</f>
        <v>19590</v>
      </c>
      <c r="M179" s="230">
        <f ca="1">IFERROR(__xludf.DUMMYFUNCTION("IMPORTRANGE(""https://docs.google.com/spreadsheets/d/1-uDff_7J0KD5mKrp0Vvzr7lt3OU09vwQwhkpOPPYv2Y/edit?usp=sharing"",""งบพรบ!CP22"")"),31390)</f>
        <v>31390</v>
      </c>
      <c r="N179" s="230">
        <f ca="1">IFERROR(__xludf.DUMMYFUNCTION("IMPORTRANGE(""https://docs.google.com/spreadsheets/d/1-uDff_7J0KD5mKrp0Vvzr7lt3OU09vwQwhkpOPPYv2Y/edit?usp=sharing"",""งบพรบ!CR22"")"),0)</f>
        <v>0</v>
      </c>
      <c r="O179" s="230">
        <f t="shared" ca="1" si="119"/>
        <v>0</v>
      </c>
      <c r="P179" s="230">
        <f t="shared" ca="1" si="120"/>
        <v>0</v>
      </c>
      <c r="Q179" s="230">
        <f ca="1">IFERROR(__xludf.DUMMYFUNCTION("IMPORTRANGE(""https://docs.google.com/spreadsheets/d/1ItG2mGa2ceCfYo0BwxsXqNm01IGEUdYcSSLTEv9YCik/edit?usp=sharing"",""เบิกจ่ายกองทุน!BE22"")"),0)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IFERROR(__xludf.DUMMYFUNCTION("IMPORTRANGE(""https://docs.google.com/spreadsheets/d/1ItG2mGa2ceCfYo0BwxsXqNm01IGEUdYcSSLTEv9YCik/edit?usp=sharing"",""เบิกจ่ายกองทุน!BF22"")"),0)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IFERROR(__xludf.DUMMYFUNCTION("IMPORTRANGE(""https://docs.google.com/spreadsheets/d/1ItG2mGa2ceCfYo0BwxsXqNm01IGEUdYcSSLTEv9YCik/edit?usp=sharing"",""เบิกจ่ายกองทุน!BG22"")"),0)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IFERROR(__xludf.DUMMYFUNCTION("IMPORTRANGE(""https://docs.google.com/spreadsheets/d/1-uDff_7J0KD5mKrp0Vvzr7lt3OU09vwQwhkpOPPYv2Y/edit?usp=sharing"",""งบพรบ!CN22"")"),0)</f>
        <v>0</v>
      </c>
      <c r="M182" s="230">
        <f ca="1">IFERROR(__xludf.DUMMYFUNCTION("IMPORTRANGE(""https://docs.google.com/spreadsheets/d/1-uDff_7J0KD5mKrp0Vvzr7lt3OU09vwQwhkpOPPYv2Y/edit?usp=sharing"",""งบพรบ!CQ22"")"),0)</f>
        <v>0</v>
      </c>
      <c r="N182" s="230">
        <f ca="1">IFERROR(__xludf.DUMMYFUNCTION("IMPORTRANGE(""https://docs.google.com/spreadsheets/d/1-uDff_7J0KD5mKrp0Vvzr7lt3OU09vwQwhkpOPPYv2Y/edit?usp=sharing"",""งบพรบ!CS22"")"),0)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IFERROR(__xludf.DUMMYFUNCTION("IMPORTRANGE(""https://docs.google.com/spreadsheets/d/1eHaY18a8A9IcSdp1K8H6x8fbOy06t2VsZHhMHf-1x7Y/edit?usp=sharing"",""แผน!AA22"")"),7)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222500</v>
      </c>
      <c r="M187" s="515">
        <f t="shared" ca="1" si="132"/>
        <v>212200</v>
      </c>
      <c r="N187" s="515">
        <f t="shared" ca="1" si="132"/>
        <v>104713.02</v>
      </c>
      <c r="O187" s="515">
        <f t="shared" ref="O187:O195" ca="1" si="133">IF(L187&gt;0,N187*100/L187,0)</f>
        <v>47.062031460674156</v>
      </c>
      <c r="P187" s="515">
        <f t="shared" ref="P187:P195" ca="1" si="134">IF(M187&gt;0,N187*100/M187,0)</f>
        <v>49.346380772855795</v>
      </c>
      <c r="Q187" s="515">
        <f t="shared" ref="Q187:S187" ca="1" si="135">Q188+Q189</f>
        <v>42000</v>
      </c>
      <c r="R187" s="515">
        <f t="shared" ca="1" si="135"/>
        <v>42000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222500</v>
      </c>
      <c r="M189" s="230">
        <f t="shared" ca="1" si="138"/>
        <v>212200</v>
      </c>
      <c r="N189" s="230">
        <f t="shared" ca="1" si="138"/>
        <v>104713.02</v>
      </c>
      <c r="O189" s="230">
        <f t="shared" ca="1" si="133"/>
        <v>47.062031460674156</v>
      </c>
      <c r="P189" s="230">
        <f t="shared" ca="1" si="134"/>
        <v>49.346380772855795</v>
      </c>
      <c r="Q189" s="230">
        <f t="shared" ca="1" si="139"/>
        <v>42000</v>
      </c>
      <c r="R189" s="230">
        <f t="shared" ca="1" si="139"/>
        <v>42000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222500</v>
      </c>
      <c r="M190" s="230">
        <f t="shared" ca="1" si="140"/>
        <v>212200</v>
      </c>
      <c r="N190" s="230">
        <f t="shared" ca="1" si="140"/>
        <v>104713.02</v>
      </c>
      <c r="O190" s="230">
        <f t="shared" ca="1" si="133"/>
        <v>47.062031460674156</v>
      </c>
      <c r="P190" s="230">
        <f t="shared" ca="1" si="134"/>
        <v>49.346380772855795</v>
      </c>
      <c r="Q190" s="230">
        <f t="shared" ref="Q190:S190" ca="1" si="141">Q191+Q192</f>
        <v>42000</v>
      </c>
      <c r="R190" s="230">
        <f t="shared" ca="1" si="141"/>
        <v>42000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IFERROR(__xludf.DUMMYFUNCTION("IMPORTRANGE(""https://docs.google.com/spreadsheets/d/1-uDff_7J0KD5mKrp0Vvzr7lt3OU09vwQwhkpOPPYv2Y/edit?usp=sharing"",""งบพรบ!CU22"")"),222500)</f>
        <v>222500</v>
      </c>
      <c r="M192" s="230">
        <f ca="1">IFERROR(__xludf.DUMMYFUNCTION("IMPORTRANGE(""https://docs.google.com/spreadsheets/d/1-uDff_7J0KD5mKrp0Vvzr7lt3OU09vwQwhkpOPPYv2Y/edit?usp=sharing"",""งบพรบ!CZ22"")"),212200)</f>
        <v>212200</v>
      </c>
      <c r="N192" s="230">
        <f ca="1">IFERROR(__xludf.DUMMYFUNCTION("IMPORTRANGE(""https://docs.google.com/spreadsheets/d/1-uDff_7J0KD5mKrp0Vvzr7lt3OU09vwQwhkpOPPYv2Y/edit?usp=sharing"",""งบพรบ!DB22"")"),104713.02)</f>
        <v>104713.02</v>
      </c>
      <c r="O192" s="230">
        <f t="shared" ca="1" si="133"/>
        <v>47.062031460674156</v>
      </c>
      <c r="P192" s="230">
        <f t="shared" ca="1" si="134"/>
        <v>49.346380772855795</v>
      </c>
      <c r="Q192" s="230">
        <f ca="1">IFERROR(__xludf.DUMMYFUNCTION("IMPORTRANGE(""https://docs.google.com/spreadsheets/d/1ItG2mGa2ceCfYo0BwxsXqNm01IGEUdYcSSLTEv9YCik/edit?usp=sharing"",""เบิกจ่ายกองทุน!AV22"")"),42000)</f>
        <v>42000</v>
      </c>
      <c r="R192" s="230">
        <f ca="1">IFERROR(__xludf.DUMMYFUNCTION("IMPORTRANGE(""https://docs.google.com/spreadsheets/d/1ItG2mGa2ceCfYo0BwxsXqNm01IGEUdYcSSLTEv9YCik/edit?usp=sharing"",""เบิกจ่ายกองทุน!AW22"")"),42000)</f>
        <v>42000</v>
      </c>
      <c r="S192" s="230">
        <f ca="1">IFERROR(__xludf.DUMMYFUNCTION("IMPORTRANGE(""https://docs.google.com/spreadsheets/d/1ItG2mGa2ceCfYo0BwxsXqNm01IGEUdYcSSLTEv9YCik/edit?usp=sharing"",""เบิกจ่ายกองทุน!AX22"")"),0)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IFERROR(__xludf.DUMMYFUNCTION("IMPORTRANGE(""https://docs.google.com/spreadsheets/d/1-uDff_7J0KD5mKrp0Vvzr7lt3OU09vwQwhkpOPPYv2Y/edit?usp=sharing"",""งบพรบ!CX22"")"),0)</f>
        <v>0</v>
      </c>
      <c r="M195" s="230">
        <f ca="1">IFERROR(__xludf.DUMMYFUNCTION("IMPORTRANGE(""https://docs.google.com/spreadsheets/d/1-uDff_7J0KD5mKrp0Vvzr7lt3OU09vwQwhkpOPPYv2Y/edit?usp=sharing"",""งบพรบ!DA22"")"),0)</f>
        <v>0</v>
      </c>
      <c r="N195" s="230">
        <f ca="1">IFERROR(__xludf.DUMMYFUNCTION("IMPORTRANGE(""https://docs.google.com/spreadsheets/d/1-uDff_7J0KD5mKrp0Vvzr7lt3OU09vwQwhkpOPPYv2Y/edit?usp=sharing"",""งบพรบ!DC22"")"),0)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IFERROR(__xludf.DUMMYFUNCTION("IMPORTRANGE(""https://docs.google.com/spreadsheets/d/1eHaY18a8A9IcSdp1K8H6x8fbOy06t2VsZHhMHf-1x7Y/edit?usp=sharing"",""แผน!AB22"")"),6000)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IFERROR(__xludf.DUMMYFUNCTION("IMPORTRANGE(""https://docs.google.com/spreadsheets/d/1eHaY18a8A9IcSdp1K8H6x8fbOy06t2VsZHhMHf-1x7Y/edit?usp=sharing"",""แผน!AE22"")"),4)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2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26000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IFERROR(__xludf.DUMMYFUNCTION("IMPORTRANGE(""https://docs.google.com/spreadsheets/d/1eHaY18a8A9IcSdp1K8H6x8fbOy06t2VsZHhMHf-1x7Y/edit?usp=sharing"",""แผน!AG22"")"),2000)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IFERROR(__xludf.DUMMYFUNCTION("IMPORTRANGE(""https://docs.google.com/spreadsheets/d/1eHaY18a8A9IcSdp1K8H6x8fbOy06t2VsZHhMHf-1x7Y/edit?usp=sharing"",""แผน!AH22"")"),0)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IFERROR(__xludf.DUMMYFUNCTION("IMPORTRANGE(""https://docs.google.com/spreadsheets/d/1eHaY18a8A9IcSdp1K8H6x8fbOy06t2VsZHhMHf-1x7Y/edit?usp=sharing"",""แผน!AI22"")"),16000)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IFERROR(__xludf.DUMMYFUNCTION("IMPORTRANGE(""https://docs.google.com/spreadsheets/d/1eHaY18a8A9IcSdp1K8H6x8fbOy06t2VsZHhMHf-1x7Y/edit?usp=sharing"",""แผน!AJ22"")"),8000)</f>
        <v>8000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IFERROR(__xludf.DUMMYFUNCTION("IMPORTRANGE(""https://docs.google.com/spreadsheets/d/1eHaY18a8A9IcSdp1K8H6x8fbOy06t2VsZHhMHf-1x7Y/edit?usp=sharing"",""แผน!AK22"")"),2)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IFERROR(__xludf.DUMMYFUNCTION("IMPORTRANGE(""https://docs.google.com/spreadsheets/d/1eHaY18a8A9IcSdp1K8H6x8fbOy06t2VsZHhMHf-1x7Y/edit?usp=sharing"",""แผน!JX22"")"),2)</f>
        <v>2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IFERROR(__xludf.DUMMYFUNCTION("IMPORTRANGE(""https://docs.google.com/spreadsheets/d/1eHaY18a8A9IcSdp1K8H6x8fbOy06t2VsZHhMHf-1x7Y/edit?usp=sharing"",""แผน!JY22"")"),0)</f>
        <v>0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IFERROR(__xludf.DUMMYFUNCTION("IMPORTRANGE(""https://docs.google.com/spreadsheets/d/1eHaY18a8A9IcSdp1K8H6x8fbOy06t2VsZHhMHf-1x7Y/edit?usp=sharing"",""แผน!AM22"")"),0)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IFERROR(__xludf.DUMMYFUNCTION("IMPORTRANGE(""https://docs.google.com/spreadsheets/d/1eHaY18a8A9IcSdp1K8H6x8fbOy06t2VsZHhMHf-1x7Y/edit?usp=sharing"",""แผน!AN22"")"),0)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IFERROR(__xludf.DUMMYFUNCTION("IMPORTRANGE(""https://docs.google.com/spreadsheets/d/1eHaY18a8A9IcSdp1K8H6x8fbOy06t2VsZHhMHf-1x7Y/edit?usp=sharing"",""แผน!AO22"")"),0)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IFERROR(__xludf.DUMMYFUNCTION("IMPORTRANGE(""https://docs.google.com/spreadsheets/d/1eHaY18a8A9IcSdp1K8H6x8fbOy06t2VsZHhMHf-1x7Y/edit?usp=sharing"",""แผน!AP22"")"),0)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IFERROR(__xludf.DUMMYFUNCTION("IMPORTRANGE(""https://docs.google.com/spreadsheets/d/1eHaY18a8A9IcSdp1K8H6x8fbOy06t2VsZHhMHf-1x7Y/edit?usp=sharing"",""แผน!AP22"")"),0)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50000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IFERROR(__xludf.DUMMYFUNCTION("IMPORTRANGE(""https://docs.google.com/spreadsheets/d/1eHaY18a8A9IcSdp1K8H6x8fbOy06t2VsZHhMHf-1x7Y/edit?usp=sharing"",""แผน!AR22"")"),7000)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IFERROR(__xludf.DUMMYFUNCTION("IMPORTRANGE(""https://docs.google.com/spreadsheets/d/1eHaY18a8A9IcSdp1K8H6x8fbOy06t2VsZHhMHf-1x7Y/edit?usp=sharing"",""แผน!AS22"")"),1500)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IFERROR(__xludf.DUMMYFUNCTION("IMPORTRANGE(""https://docs.google.com/spreadsheets/d/1eHaY18a8A9IcSdp1K8H6x8fbOy06t2VsZHhMHf-1x7Y/edit?usp=sharing"",""แผน!AT22"")"),0)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IFERROR(__xludf.DUMMYFUNCTION("IMPORTRANGE(""https://docs.google.com/spreadsheets/d/1eHaY18a8A9IcSdp1K8H6x8fbOy06t2VsZHhMHf-1x7Y/edit?usp=sharing"",""แผน!AV22"")"),50000)</f>
        <v>50000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IFERROR(__xludf.DUMMYFUNCTION("IMPORTRANGE(""https://docs.google.com/spreadsheets/d/1eHaY18a8A9IcSdp1K8H6x8fbOy06t2VsZHhMHf-1x7Y/edit?usp=sharing"",""แผน!AV22"")"),50000)</f>
        <v>50000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IFERROR(__xludf.DUMMYFUNCTION("IMPORTRANGE(""https://docs.google.com/spreadsheets/d/1eHaY18a8A9IcSdp1K8H6x8fbOy06t2VsZHhMHf-1x7Y/edit?usp=sharing"",""แผน!AU22"")"),0)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IFERROR(__xludf.DUMMYFUNCTION("IMPORTRANGE(""https://docs.google.com/spreadsheets/d/1eHaY18a8A9IcSdp1K8H6x8fbOy06t2VsZHhMHf-1x7Y/edit?usp=sharing"",""แผน!AX22"")"),0)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IFERROR(__xludf.DUMMYFUNCTION("IMPORTRANGE(""https://docs.google.com/spreadsheets/d/1eHaY18a8A9IcSdp1K8H6x8fbOy06t2VsZHhMHf-1x7Y/edit?usp=sharing"",""แผน!AY22"")"),0)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IFERROR(__xludf.DUMMYFUNCTION("IMPORTRANGE(""https://docs.google.com/spreadsheets/d/1eHaY18a8A9IcSdp1K8H6x8fbOy06t2VsZHhMHf-1x7Y/edit?usp=sharing"",""แผน!AZ22"")"),0)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IFERROR(__xludf.DUMMYFUNCTION("IMPORTRANGE(""https://docs.google.com/spreadsheets/d/1eHaY18a8A9IcSdp1K8H6x8fbOy06t2VsZHhMHf-1x7Y/edit?usp=sharing"",""แผน!BA22"")"),0)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IFERROR(__xludf.DUMMYFUNCTION("IMPORTRANGE(""https://docs.google.com/spreadsheets/d/1eHaY18a8A9IcSdp1K8H6x8fbOy06t2VsZHhMHf-1x7Y/edit?usp=sharing"",""แผน!BG22"")"),0)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IFERROR(__xludf.DUMMYFUNCTION("IMPORTRANGE(""https://docs.google.com/spreadsheets/d/1eHaY18a8A9IcSdp1K8H6x8fbOy06t2VsZHhMHf-1x7Y/edit?usp=sharing"",""แผน!BB22"")"),0)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IFERROR(__xludf.DUMMYFUNCTION("IMPORTRANGE(""https://docs.google.com/spreadsheets/d/1eHaY18a8A9IcSdp1K8H6x8fbOy06t2VsZHhMHf-1x7Y/edit?usp=sharing"",""แผน!BC22"")"),0)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IFERROR(__xludf.DUMMYFUNCTION("IMPORTRANGE(""https://docs.google.com/spreadsheets/d/1eHaY18a8A9IcSdp1K8H6x8fbOy06t2VsZHhMHf-1x7Y/edit?usp=sharing"",""แผน!BD22"")"),0)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IFERROR(__xludf.DUMMYFUNCTION("IMPORTRANGE(""https://docs.google.com/spreadsheets/d/1eHaY18a8A9IcSdp1K8H6x8fbOy06t2VsZHhMHf-1x7Y/edit?usp=sharing"",""แผน!BE22"")"),0)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IFERROR(__xludf.DUMMYFUNCTION("IMPORTRANGE(""https://docs.google.com/spreadsheets/d/1eHaY18a8A9IcSdp1K8H6x8fbOy06t2VsZHhMHf-1x7Y/edit?usp=sharing"",""แผน!BH22"")"),0)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24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53440</v>
      </c>
      <c r="R267" s="583">
        <f t="shared" ca="1" si="165"/>
        <v>53440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53440</v>
      </c>
      <c r="R269" s="592">
        <f t="shared" ca="1" si="169"/>
        <v>53440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53440</v>
      </c>
      <c r="R270" s="592">
        <f t="shared" ca="1" si="171"/>
        <v>53440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IFERROR(__xludf.DUMMYFUNCTION("IMPORTRANGE(""https://docs.google.com/spreadsheets/d/1-uDff_7J0KD5mKrp0Vvzr7lt3OU09vwQwhkpOPPYv2Y/edit?usp=sharing"",""งบพรบ!DE22"")"),0)</f>
        <v>0</v>
      </c>
      <c r="M272" s="592">
        <f ca="1">IFERROR(__xludf.DUMMYFUNCTION("IMPORTRANGE(""https://docs.google.com/spreadsheets/d/1-uDff_7J0KD5mKrp0Vvzr7lt3OU09vwQwhkpOPPYv2Y/edit?usp=sharing"",""งบพรบ!DJ22"")"),5000)</f>
        <v>5000</v>
      </c>
      <c r="N272" s="592">
        <f ca="1">IFERROR(__xludf.DUMMYFUNCTION("IMPORTRANGE(""https://docs.google.com/spreadsheets/d/1-uDff_7J0KD5mKrp0Vvzr7lt3OU09vwQwhkpOPPYv2Y/edit?usp=sharing"",""งบพรบ!DL22"")"),0)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IFERROR(__xludf.DUMMYFUNCTION("IMPORTRANGE(""https://docs.google.com/spreadsheets/d/1ItG2mGa2ceCfYo0BwxsXqNm01IGEUdYcSSLTEv9YCik/edit?usp=sharing"",""เบิกจ่ายกองทุน!AJ22"")"),53440)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IFERROR(__xludf.DUMMYFUNCTION("IMPORTRANGE(""https://docs.google.com/spreadsheets/d/1ItG2mGa2ceCfYo0BwxsXqNm01IGEUdYcSSLTEv9YCik/edit?usp=sharing"",""เบิกจ่ายกองทุน!AK22"")"),53440)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IFERROR(__xludf.DUMMYFUNCTION("IMPORTRANGE(""https://docs.google.com/spreadsheets/d/1ItG2mGa2ceCfYo0BwxsXqNm01IGEUdYcSSLTEv9YCik/edit?usp=sharing"",""เบิกจ่ายกองทุน!AL22"")"),0)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IFERROR(__xludf.DUMMYFUNCTION("IMPORTRANGE(""https://docs.google.com/spreadsheets/d/1-uDff_7J0KD5mKrp0Vvzr7lt3OU09vwQwhkpOPPYv2Y/edit?usp=sharing"",""งบพรบ!DH22"")"),0)</f>
        <v>0</v>
      </c>
      <c r="M275" s="592">
        <f ca="1">IFERROR(__xludf.DUMMYFUNCTION("IMPORTRANGE(""https://docs.google.com/spreadsheets/d/1-uDff_7J0KD5mKrp0Vvzr7lt3OU09vwQwhkpOPPYv2Y/edit?usp=sharing"",""งบพรบ!DK22"")"),0)</f>
        <v>0</v>
      </c>
      <c r="N275" s="592">
        <f ca="1">IFERROR(__xludf.DUMMYFUNCTION("IMPORTRANGE(""https://docs.google.com/spreadsheets/d/1-uDff_7J0KD5mKrp0Vvzr7lt3OU09vwQwhkpOPPYv2Y/edit?usp=sharing"",""งบพรบ!DM22"")"),0)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IFERROR(__xludf.DUMMYFUNCTION("IMPORTRANGE(""https://docs.google.com/spreadsheets/d/1eHaY18a8A9IcSdp1K8H6x8fbOy06t2VsZHhMHf-1x7Y/edit?usp=sharing"",""แผน!EC22"")"),24)</f>
        <v>24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10</v>
      </c>
      <c r="J281" s="619">
        <f t="shared" si="174"/>
        <v>0</v>
      </c>
      <c r="K281" s="620">
        <f t="shared" ref="K281:K282" ca="1" si="175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100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140620</v>
      </c>
      <c r="M283" s="515">
        <f t="shared" ca="1" si="177"/>
        <v>140620</v>
      </c>
      <c r="N283" s="515">
        <f t="shared" ca="1" si="177"/>
        <v>16408.72</v>
      </c>
      <c r="O283" s="515">
        <f t="shared" ref="O283:O291" ca="1" si="178">IF(L283&gt;0,N283*100/L283,0)</f>
        <v>11.668838003129</v>
      </c>
      <c r="P283" s="515">
        <f t="shared" ref="P283:P291" ca="1" si="179">IF(M283&gt;0,N283*100/M283,0)</f>
        <v>11.668838003129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140620</v>
      </c>
      <c r="M285" s="230">
        <f t="shared" ca="1" si="183"/>
        <v>140620</v>
      </c>
      <c r="N285" s="230">
        <f t="shared" ca="1" si="183"/>
        <v>16408.72</v>
      </c>
      <c r="O285" s="230">
        <f t="shared" ca="1" si="178"/>
        <v>11.668838003129</v>
      </c>
      <c r="P285" s="230">
        <f t="shared" ca="1" si="179"/>
        <v>11.668838003129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140620</v>
      </c>
      <c r="M286" s="230">
        <f t="shared" ca="1" si="185"/>
        <v>140620</v>
      </c>
      <c r="N286" s="230">
        <f t="shared" ca="1" si="185"/>
        <v>16408.72</v>
      </c>
      <c r="O286" s="230">
        <f t="shared" ca="1" si="178"/>
        <v>11.668838003129</v>
      </c>
      <c r="P286" s="230">
        <f t="shared" ca="1" si="179"/>
        <v>11.668838003129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IFERROR(__xludf.DUMMYFUNCTION("IMPORTRANGE(""https://docs.google.com/spreadsheets/d/1-uDff_7J0KD5mKrp0Vvzr7lt3OU09vwQwhkpOPPYv2Y/edit?usp=sharing"",""งบพรบ!DO22"")"),140620)</f>
        <v>140620</v>
      </c>
      <c r="M288" s="230">
        <f ca="1">IFERROR(__xludf.DUMMYFUNCTION("IMPORTRANGE(""https://docs.google.com/spreadsheets/d/1-uDff_7J0KD5mKrp0Vvzr7lt3OU09vwQwhkpOPPYv2Y/edit?usp=sharing"",""งบพรบ!DT22"")"),140620)</f>
        <v>140620</v>
      </c>
      <c r="N288" s="230">
        <f ca="1">IFERROR(__xludf.DUMMYFUNCTION("IMPORTRANGE(""https://docs.google.com/spreadsheets/d/1-uDff_7J0KD5mKrp0Vvzr7lt3OU09vwQwhkpOPPYv2Y/edit?usp=sharing"",""งบพรบ!DV22"")"),16408.72)</f>
        <v>16408.72</v>
      </c>
      <c r="O288" s="230">
        <f t="shared" ca="1" si="178"/>
        <v>11.668838003129</v>
      </c>
      <c r="P288" s="230">
        <f t="shared" ca="1" si="179"/>
        <v>11.668838003129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IFERROR(__xludf.DUMMYFUNCTION("IMPORTRANGE(""https://docs.google.com/spreadsheets/d/1-uDff_7J0KD5mKrp0Vvzr7lt3OU09vwQwhkpOPPYv2Y/edit?usp=sharing"",""งบพรบ!DR22"")"),0)</f>
        <v>0</v>
      </c>
      <c r="M291" s="230">
        <f ca="1">IFERROR(__xludf.DUMMYFUNCTION("IMPORTRANGE(""https://docs.google.com/spreadsheets/d/1-uDff_7J0KD5mKrp0Vvzr7lt3OU09vwQwhkpOPPYv2Y/edit?usp=sharing"",""งบพรบ!DU22"")"),0)</f>
        <v>0</v>
      </c>
      <c r="N291" s="230">
        <f ca="1">IFERROR(__xludf.DUMMYFUNCTION("IMPORTRANGE(""https://docs.google.com/spreadsheets/d/1-uDff_7J0KD5mKrp0Vvzr7lt3OU09vwQwhkpOPPYv2Y/edit?usp=sharing"",""งบพรบ!DW22"")"),0)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IFERROR(__xludf.DUMMYFUNCTION("IMPORTRANGE(""https://docs.google.com/spreadsheets/d/1eHaY18a8A9IcSdp1K8H6x8fbOy06t2VsZHhMHf-1x7Y/edit?usp=sharing"",""แผน!EE22"")"),100)</f>
        <v>100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IFERROR(__xludf.DUMMYFUNCTION("IMPORTRANGE(""https://docs.google.com/spreadsheets/d/1eHaY18a8A9IcSdp1K8H6x8fbOy06t2VsZHhMHf-1x7Y/edit?usp=sharing"",""แผน!ED22"")"),10)</f>
        <v>10</v>
      </c>
      <c r="J294" s="340">
        <f>J297</f>
        <v>0</v>
      </c>
      <c r="K294" s="518">
        <f t="shared" ca="1" si="189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IFERROR(__xludf.DUMMYFUNCTION("IMPORTRANGE(""https://docs.google.com/spreadsheets/d/1eHaY18a8A9IcSdp1K8H6x8fbOy06t2VsZHhMHf-1x7Y/edit?usp=sharing"",""แผน!ED22"")"),10)</f>
        <v>10</v>
      </c>
      <c r="J296" s="520">
        <v>0</v>
      </c>
      <c r="K296" s="521">
        <f t="shared" ref="K296:K297" ca="1" si="190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IFERROR(__xludf.DUMMYFUNCTION("IMPORTRANGE(""https://docs.google.com/spreadsheets/d/1eHaY18a8A9IcSdp1K8H6x8fbOy06t2VsZHhMHf-1x7Y/edit?usp=sharing"",""แผน!ED22"")"),10)</f>
        <v>10</v>
      </c>
      <c r="J297" s="520">
        <v>0</v>
      </c>
      <c r="K297" s="521">
        <f t="shared" ca="1" si="190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30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260958.39</v>
      </c>
      <c r="R304" s="515">
        <f t="shared" ca="1" si="195"/>
        <v>260958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260958.39</v>
      </c>
      <c r="R306" s="230">
        <f t="shared" ca="1" si="199"/>
        <v>260958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260958.39</v>
      </c>
      <c r="R307" s="230">
        <f t="shared" ca="1" si="201"/>
        <v>260958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IFERROR(__xludf.DUMMYFUNCTION("IMPORTRANGE(""https://docs.google.com/spreadsheets/d/1-uDff_7J0KD5mKrp0Vvzr7lt3OU09vwQwhkpOPPYv2Y/edit?usp=sharing"",""งบพรบ!DY22"")"),0)</f>
        <v>0</v>
      </c>
      <c r="M309" s="230">
        <f ca="1">IFERROR(__xludf.DUMMYFUNCTION("IMPORTRANGE(""https://docs.google.com/spreadsheets/d/1-uDff_7J0KD5mKrp0Vvzr7lt3OU09vwQwhkpOPPYv2Y/edit?usp=sharing"",""งบพรบ!ED22"")"),0)</f>
        <v>0</v>
      </c>
      <c r="N309" s="230">
        <f ca="1">IFERROR(__xludf.DUMMYFUNCTION("IMPORTRANGE(""https://docs.google.com/spreadsheets/d/1-uDff_7J0KD5mKrp0Vvzr7lt3OU09vwQwhkpOPPYv2Y/edit?usp=sharing"",""งบพรบ!EF22"")"),0)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IFERROR(__xludf.DUMMYFUNCTION("IMPORTRANGE(""https://docs.google.com/spreadsheets/d/1ItG2mGa2ceCfYo0BwxsXqNm01IGEUdYcSSLTEv9YCik/edit?usp=sharing"",""เบิกจ่ายกองทุน!AP22"")"),260958.39)</f>
        <v>260958.39</v>
      </c>
      <c r="R309" s="230">
        <f ca="1">IFERROR(__xludf.DUMMYFUNCTION("IMPORTRANGE(""https://docs.google.com/spreadsheets/d/1ItG2mGa2ceCfYo0BwxsXqNm01IGEUdYcSSLTEv9YCik/edit?usp=sharing"",""เบิกจ่ายกองทุน!AQ22"")"),260958)</f>
        <v>260958</v>
      </c>
      <c r="S309" s="230">
        <f ca="1">IFERROR(__xludf.DUMMYFUNCTION("IMPORTRANGE(""https://docs.google.com/spreadsheets/d/1ItG2mGa2ceCfYo0BwxsXqNm01IGEUdYcSSLTEv9YCik/edit?usp=sharing"",""เบิกจ่ายกองทุน!AR22"")"),0)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IFERROR(__xludf.DUMMYFUNCTION("IMPORTRANGE(""https://docs.google.com/spreadsheets/d/1-uDff_7J0KD5mKrp0Vvzr7lt3OU09vwQwhkpOPPYv2Y/edit?usp=sharing"",""งบพรบ!EB22"")"),0)</f>
        <v>0</v>
      </c>
      <c r="M312" s="230">
        <f ca="1">IFERROR(__xludf.DUMMYFUNCTION("IMPORTRANGE(""https://docs.google.com/spreadsheets/d/1-uDff_7J0KD5mKrp0Vvzr7lt3OU09vwQwhkpOPPYv2Y/edit?usp=sharing"",""งบพรบ!EE22"")"),0)</f>
        <v>0</v>
      </c>
      <c r="N312" s="230">
        <f ca="1">IFERROR(__xludf.DUMMYFUNCTION("IMPORTRANGE(""https://docs.google.com/spreadsheets/d/1-uDff_7J0KD5mKrp0Vvzr7lt3OU09vwQwhkpOPPYv2Y/edit?usp=sharing"",""งบพรบ!EG22"")"),0)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IFERROR(__xludf.DUMMYFUNCTION("IMPORTRANGE(""https://docs.google.com/spreadsheets/d/1eHaY18a8A9IcSdp1K8H6x8fbOy06t2VsZHhMHf-1x7Y/edit?usp=sharing"",""แผน!EF22"")"),30)</f>
        <v>30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IFERROR(__xludf.DUMMYFUNCTION("IMPORTRANGE(""https://docs.google.com/spreadsheets/d/1-uDff_7J0KD5mKrp0Vvzr7lt3OU09vwQwhkpOPPYv2Y/edit?usp=sharing"",""งบพรบ!EI22"")"),0)</f>
        <v>0</v>
      </c>
      <c r="M326" s="230">
        <f ca="1">IFERROR(__xludf.DUMMYFUNCTION("IMPORTRANGE(""https://docs.google.com/spreadsheets/d/1-uDff_7J0KD5mKrp0Vvzr7lt3OU09vwQwhkpOPPYv2Y/edit?usp=sharing"",""งบพรบ!EN22"")"),0)</f>
        <v>0</v>
      </c>
      <c r="N326" s="230">
        <f ca="1">IFERROR(__xludf.DUMMYFUNCTION("IMPORTRANGE(""https://docs.google.com/spreadsheets/d/1-uDff_7J0KD5mKrp0Vvzr7lt3OU09vwQwhkpOPPYv2Y/edit?usp=sharing"",""งบพรบ!EP22"")"),0)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IFERROR(__xludf.DUMMYFUNCTION("IMPORTRANGE(""https://docs.google.com/spreadsheets/d/1-uDff_7J0KD5mKrp0Vvzr7lt3OU09vwQwhkpOPPYv2Y/edit?usp=sharing"",""งบพรบ!EL22"")"),0)</f>
        <v>0</v>
      </c>
      <c r="M329" s="230">
        <f ca="1">IFERROR(__xludf.DUMMYFUNCTION("IMPORTRANGE(""https://docs.google.com/spreadsheets/d/1-uDff_7J0KD5mKrp0Vvzr7lt3OU09vwQwhkpOPPYv2Y/edit?usp=sharing"",""งบพรบ!EO22"")"),0)</f>
        <v>0</v>
      </c>
      <c r="N329" s="230">
        <f ca="1">IFERROR(__xludf.DUMMYFUNCTION("IMPORTRANGE(""https://docs.google.com/spreadsheets/d/1-uDff_7J0KD5mKrp0Vvzr7lt3OU09vwQwhkpOPPYv2Y/edit?usp=sharing"",""งบพรบ!EQ22"")"),0)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IFERROR(__xludf.DUMMYFUNCTION("IMPORTRANGE(""https://docs.google.com/spreadsheets/d/1eHaY18a8A9IcSdp1K8H6x8fbOy06t2VsZHhMHf-1x7Y/edit?usp=sharing"",""แผน!EJ22"")"),0)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1060</v>
      </c>
      <c r="J333" s="635">
        <f ca="1">J345+J348+J349+J350+J354</f>
        <v>2091</v>
      </c>
      <c r="K333" s="636">
        <f ca="1">IF(I333&gt;0,J333*100/I333,0)</f>
        <v>197.26415094339623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110000</v>
      </c>
      <c r="M334" s="515">
        <f t="shared" ca="1" si="217"/>
        <v>115000</v>
      </c>
      <c r="N334" s="515">
        <f t="shared" ca="1" si="217"/>
        <v>34585</v>
      </c>
      <c r="O334" s="515">
        <f t="shared" ref="O334:O342" ca="1" si="218">IF(L334&gt;0,N334*100/L334,0)</f>
        <v>31.440909090909091</v>
      </c>
      <c r="P334" s="515">
        <f t="shared" ref="P334:P342" ca="1" si="219">IF(M334&gt;0,N334*100/M334,0)</f>
        <v>30.07391304347826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110000</v>
      </c>
      <c r="M336" s="230">
        <f t="shared" ca="1" si="223"/>
        <v>115000</v>
      </c>
      <c r="N336" s="230">
        <f t="shared" ca="1" si="223"/>
        <v>34585</v>
      </c>
      <c r="O336" s="230">
        <f t="shared" ca="1" si="218"/>
        <v>31.440909090909091</v>
      </c>
      <c r="P336" s="230">
        <f t="shared" ca="1" si="219"/>
        <v>30.07391304347826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110000</v>
      </c>
      <c r="M337" s="230">
        <f t="shared" ca="1" si="225"/>
        <v>115000</v>
      </c>
      <c r="N337" s="230">
        <f t="shared" ca="1" si="225"/>
        <v>34585</v>
      </c>
      <c r="O337" s="230">
        <f t="shared" ca="1" si="218"/>
        <v>31.440909090909091</v>
      </c>
      <c r="P337" s="230">
        <f t="shared" ca="1" si="219"/>
        <v>30.07391304347826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IFERROR(__xludf.DUMMYFUNCTION("IMPORTRANGE(""https://docs.google.com/spreadsheets/d/1-uDff_7J0KD5mKrp0Vvzr7lt3OU09vwQwhkpOPPYv2Y/edit?usp=sharing"",""งบพรบ!ES22"")"),110000)</f>
        <v>110000</v>
      </c>
      <c r="M339" s="230">
        <f ca="1">IFERROR(__xludf.DUMMYFUNCTION("IMPORTRANGE(""https://docs.google.com/spreadsheets/d/1-uDff_7J0KD5mKrp0Vvzr7lt3OU09vwQwhkpOPPYv2Y/edit?usp=sharing"",""งบพรบ!EX22"")"),115000)</f>
        <v>115000</v>
      </c>
      <c r="N339" s="230">
        <f ca="1">IFERROR(__xludf.DUMMYFUNCTION("IMPORTRANGE(""https://docs.google.com/spreadsheets/d/1-uDff_7J0KD5mKrp0Vvzr7lt3OU09vwQwhkpOPPYv2Y/edit?usp=sharing"",""งบพรบ!EZ22"")"),34585)</f>
        <v>34585</v>
      </c>
      <c r="O339" s="230">
        <f t="shared" ca="1" si="218"/>
        <v>31.440909090909091</v>
      </c>
      <c r="P339" s="230">
        <f t="shared" ca="1" si="219"/>
        <v>30.07391304347826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IFERROR(__xludf.DUMMYFUNCTION("IMPORTRANGE(""https://docs.google.com/spreadsheets/d/1-uDff_7J0KD5mKrp0Vvzr7lt3OU09vwQwhkpOPPYv2Y/edit?usp=sharing"",""งบพรบ!EV22"")"),0)</f>
        <v>0</v>
      </c>
      <c r="M342" s="230">
        <f ca="1">IFERROR(__xludf.DUMMYFUNCTION("IMPORTRANGE(""https://docs.google.com/spreadsheets/d/1-uDff_7J0KD5mKrp0Vvzr7lt3OU09vwQwhkpOPPYv2Y/edit?usp=sharing"",""งบพรบ!EY22"")"),0)</f>
        <v>0</v>
      </c>
      <c r="N342" s="230">
        <f ca="1">IFERROR(__xludf.DUMMYFUNCTION("IMPORTRANGE(""https://docs.google.com/spreadsheets/d/1-uDff_7J0KD5mKrp0Vvzr7lt3OU09vwQwhkpOPPYv2Y/edit?usp=sharing"",""งบพรบ!FA22"")"),0)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957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IFERROR(__xludf.DUMMYFUNCTION("IMPORTRANGE(""https://docs.google.com/spreadsheets/d/1eHaY18a8A9IcSdp1K8H6x8fbOy06t2VsZHhMHf-1x7Y/edit?usp=sharing"",""แผน!EK22"")"),1060)</f>
        <v>1060</v>
      </c>
      <c r="J345" s="189">
        <f ca="1">IFERROR(__xludf.DUMMYFUNCTION("IMPORTRANGE(""https://docs.google.com/spreadsheets/d/1awYsYK3VOup2i3Pq_Yjnu8DRu_mYwSBnCR2QPthd0rU/edit?usp=sharing"",""ศูนย์ยกเว้นโฉนด!D22"")"),884)</f>
        <v>884</v>
      </c>
      <c r="K345" s="230">
        <f ca="1">IF(I345&gt;0,J345*100/I345,0)</f>
        <v>83.396226415094333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IFERROR(__xludf.DUMMYFUNCTION("IMPORTRANGE(""https://docs.google.com/spreadsheets/d/1eHaY18a8A9IcSdp1K8H6x8fbOy06t2VsZHhMHf-1x7Y/edit?usp=sharing"",""แผน!EL22"")"),5)</f>
        <v>5</v>
      </c>
      <c r="J347" s="189">
        <f ca="1">IFERROR(__xludf.DUMMYFUNCTION("IMPORTRANGE(""https://docs.google.com/spreadsheets/d/1awYsYK3VOup2i3Pq_Yjnu8DRu_mYwSBnCR2QPthd0rU/edit?usp=sharing"",""ศูนย์รวม!E22"")"),4)</f>
        <v>4</v>
      </c>
      <c r="K347" s="230">
        <f ca="1">IF(I347&gt;0,J347*100/I347,0)</f>
        <v>80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IFERROR(__xludf.DUMMYFUNCTION("IMPORTRANGE(""https://docs.google.com/spreadsheets/d/1awYsYK3VOup2i3Pq_Yjnu8DRu_mYwSBnCR2QPthd0rU/edit?usp=sharing"",""ศูนย์ยกเว้นโฉนด!F22"")"),69)</f>
        <v>69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IFERROR(__xludf.DUMMYFUNCTION("IMPORTRANGE(""https://docs.google.com/spreadsheets/d/1awYsYK3VOup2i3Pq_Yjnu8DRu_mYwSBnCR2QPthd0rU/edit?usp=sharing"",""ศูนย์ยกเว้นโฉนด!G22"")"),2)</f>
        <v>2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IFERROR(__xludf.DUMMYFUNCTION("IMPORTRANGE(""https://docs.google.com/spreadsheets/d/1awYsYK3VOup2i3Pq_Yjnu8DRu_mYwSBnCR2QPthd0rU/edit?usp=sharing"",""ศูนย์ยกเว้นโฉนด!H22"")"),2)</f>
        <v>2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2718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IFERROR(__xludf.DUMMYFUNCTION("IMPORTRANGE(""https://docs.google.com/spreadsheets/d/1awYsYK3VOup2i3Pq_Yjnu8DRu_mYwSBnCR2QPthd0rU/edit?usp=sharing"",""โฉนดM3!G22"")"),1584)</f>
        <v>1584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IFERROR(__xludf.DUMMYFUNCTION("IMPORTRANGE(""https://docs.google.com/spreadsheets/d/1awYsYK3VOup2i3Pq_Yjnu8DRu_mYwSBnCR2QPthd0rU/edit?usp=sharing"",""โฉนดM3!H22"")"),1134)</f>
        <v>1134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405005</v>
      </c>
      <c r="M357" s="515">
        <f t="shared" ca="1" si="229"/>
        <v>405005</v>
      </c>
      <c r="N357" s="515">
        <f t="shared" ca="1" si="229"/>
        <v>161621.57</v>
      </c>
      <c r="O357" s="515">
        <f t="shared" ref="O357:O365" ca="1" si="230">IF(L357&gt;0,N357*100/L357,0)</f>
        <v>39.906067826323131</v>
      </c>
      <c r="P357" s="515">
        <f t="shared" ref="P357:P365" ca="1" si="231">IF(M357&gt;0,N357*100/M357,0)</f>
        <v>39.906067826323131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405005</v>
      </c>
      <c r="M359" s="230">
        <f t="shared" ca="1" si="235"/>
        <v>405005</v>
      </c>
      <c r="N359" s="230">
        <f t="shared" ca="1" si="235"/>
        <v>161621.57</v>
      </c>
      <c r="O359" s="230">
        <f t="shared" ca="1" si="230"/>
        <v>39.906067826323131</v>
      </c>
      <c r="P359" s="230">
        <f t="shared" ca="1" si="231"/>
        <v>39.906067826323131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405005</v>
      </c>
      <c r="M360" s="230">
        <f t="shared" ca="1" si="237"/>
        <v>405005</v>
      </c>
      <c r="N360" s="230">
        <f t="shared" ca="1" si="237"/>
        <v>161621.57</v>
      </c>
      <c r="O360" s="230">
        <f t="shared" ca="1" si="230"/>
        <v>39.906067826323131</v>
      </c>
      <c r="P360" s="230">
        <f t="shared" ca="1" si="231"/>
        <v>39.906067826323131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IFERROR(__xludf.DUMMYFUNCTION("IMPORTRANGE(""https://docs.google.com/spreadsheets/d/1-uDff_7J0KD5mKrp0Vvzr7lt3OU09vwQwhkpOPPYv2Y/edit?usp=sharing"",""งบพรบ!FC22"")"),405005)</f>
        <v>405005</v>
      </c>
      <c r="M362" s="230">
        <f ca="1">IFERROR(__xludf.DUMMYFUNCTION("IMPORTRANGE(""https://docs.google.com/spreadsheets/d/1-uDff_7J0KD5mKrp0Vvzr7lt3OU09vwQwhkpOPPYv2Y/edit?usp=sharing"",""งบพรบ!FH22"")"),405005)</f>
        <v>405005</v>
      </c>
      <c r="N362" s="230">
        <f ca="1">IFERROR(__xludf.DUMMYFUNCTION("IMPORTRANGE(""https://docs.google.com/spreadsheets/d/1-uDff_7J0KD5mKrp0Vvzr7lt3OU09vwQwhkpOPPYv2Y/edit?usp=sharing"",""งบพรบ!FJ22"")"),161621.57)</f>
        <v>161621.57</v>
      </c>
      <c r="O362" s="230">
        <f t="shared" ca="1" si="230"/>
        <v>39.906067826323131</v>
      </c>
      <c r="P362" s="230">
        <f t="shared" ca="1" si="231"/>
        <v>39.906067826323131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IFERROR(__xludf.DUMMYFUNCTION("IMPORTRANGE(""https://docs.google.com/spreadsheets/d/1-uDff_7J0KD5mKrp0Vvzr7lt3OU09vwQwhkpOPPYv2Y/edit?usp=sharing"",""งบพรบ!FF22"")"),0)</f>
        <v>0</v>
      </c>
      <c r="M365" s="230">
        <f ca="1">IFERROR(__xludf.DUMMYFUNCTION("IMPORTRANGE(""https://docs.google.com/spreadsheets/d/1-uDff_7J0KD5mKrp0Vvzr7lt3OU09vwQwhkpOPPYv2Y/edit?usp=sharing"",""งบพรบ!FI22"")"),0)</f>
        <v>0</v>
      </c>
      <c r="N365" s="230">
        <f ca="1">IFERROR(__xludf.DUMMYFUNCTION("IMPORTRANGE(""https://docs.google.com/spreadsheets/d/1-uDff_7J0KD5mKrp0Vvzr7lt3OU09vwQwhkpOPPYv2Y/edit?usp=sharing"",""งบพรบ!FK22"")"),0)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101</v>
      </c>
      <c r="J366" s="313">
        <f t="shared" ca="1" si="241"/>
        <v>18</v>
      </c>
      <c r="K366" s="314">
        <f ca="1">IF(I366&gt;0,J366*100/I366,0)</f>
        <v>17.821782178217823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IFERROR(__xludf.DUMMYFUNCTION("IMPORTRANGE(""https://docs.google.com/spreadsheets/d/1tdoBKaGub7dwA3U6UFTqxio9LNnvDCQjHKmttSEBsFQ/edit?usp=sharing"",""จัดที่ดิน!AB22"")"),1)</f>
        <v>1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IFERROR(__xludf.DUMMYFUNCTION("IMPORTRANGE(""https://docs.google.com/spreadsheets/d/1eHaY18a8A9IcSdp1K8H6x8fbOy06t2VsZHhMHf-1x7Y/edit?usp=sharing"",""แผน!EW22"")"),1010)</f>
        <v>1010</v>
      </c>
      <c r="J369" s="646">
        <f ca="1">IFERROR(__xludf.DUMMYFUNCTION("IMPORTRANGE(""https://docs.google.com/spreadsheets/d/1tdoBKaGub7dwA3U6UFTqxio9LNnvDCQjHKmttSEBsFQ/edit?usp=sharing"",""จัดที่ดิน!AC22"")"),1.34)</f>
        <v>1.34</v>
      </c>
      <c r="K369" s="230">
        <f t="shared" ca="1" si="242"/>
        <v>0.13267326732673268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IFERROR(__xludf.DUMMYFUNCTION("IMPORTRANGE(""https://docs.google.com/spreadsheets/d/1eHaY18a8A9IcSdp1K8H6x8fbOy06t2VsZHhMHf-1x7Y/edit?usp=sharing"",""แผน!EX22"")"),157)</f>
        <v>157</v>
      </c>
      <c r="J370" s="189">
        <f ca="1">IFERROR(__xludf.DUMMYFUNCTION("IMPORTRANGE(""https://docs.google.com/spreadsheets/d/1tdoBKaGub7dwA3U6UFTqxio9LNnvDCQjHKmttSEBsFQ/edit?usp=sharing"",""จัดที่ดิน!AD22"")"),18)</f>
        <v>18</v>
      </c>
      <c r="K370" s="230">
        <f t="shared" ca="1" si="242"/>
        <v>11.464968152866241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IFERROR(__xludf.DUMMYFUNCTION("IMPORTRANGE(""https://docs.google.com/spreadsheets/d/1tdoBKaGub7dwA3U6UFTqxio9LNnvDCQjHKmttSEBsFQ/edit?usp=sharing"",""จัดที่ดิน!AE22"")"),349.97)</f>
        <v>349.97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IFERROR(__xludf.DUMMYFUNCTION("IMPORTRANGE(""https://docs.google.com/spreadsheets/d/1eHaY18a8A9IcSdp1K8H6x8fbOy06t2VsZHhMHf-1x7Y/edit?usp=sharing"",""แผน!EY22"")"),101)</f>
        <v>101</v>
      </c>
      <c r="J372" s="189">
        <f ca="1">IFERROR(__xludf.DUMMYFUNCTION("IMPORTRANGE(""https://docs.google.com/spreadsheets/d/1tdoBKaGub7dwA3U6UFTqxio9LNnvDCQjHKmttSEBsFQ/edit?usp=sharing"",""จัดที่ดิน!AF22"")"),18)</f>
        <v>18</v>
      </c>
      <c r="K372" s="230">
        <f t="shared" ca="1" si="242"/>
        <v>17.821782178217823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IFERROR(__xludf.DUMMYFUNCTION("IMPORTRANGE(""https://docs.google.com/spreadsheets/d/1tdoBKaGub7dwA3U6UFTqxio9LNnvDCQjHKmttSEBsFQ/edit?usp=sharing"",""จัดที่ดิน!AG22"")"),349.97)</f>
        <v>349.97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I387+I389</f>
        <v>1000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62500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62500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62500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IFERROR(__xludf.DUMMYFUNCTION("IMPORTRANGE(""https://docs.google.com/spreadsheets/d/1ItG2mGa2ceCfYo0BwxsXqNm01IGEUdYcSSLTEv9YCik/edit?usp=sharing"",""เบิกจ่ายกองทุน!AY22"")"),62500)</f>
        <v>62500</v>
      </c>
      <c r="R381" s="230">
        <f ca="1">IFERROR(__xludf.DUMMYFUNCTION("IMPORTRANGE(""https://docs.google.com/spreadsheets/d/1ItG2mGa2ceCfYo0BwxsXqNm01IGEUdYcSSLTEv9YCik/edit?usp=sharing"",""เบิกจ่ายกองทุน!AZ22"")"),0)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IFERROR(__xludf.DUMMYFUNCTION("IMPORTRANGE(""https://docs.google.com/spreadsheets/d/1ItG2mGa2ceCfYo0BwxsXqNm01IGEUdYcSSLTEv9YCik/edit?usp=sharing"",""เบิกจ่ายกองทุน!BA22"")"),0)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IFERROR(__xludf.DUMMYFUNCTION("IMPORTRANGE(""https://docs.google.com/spreadsheets/d/1w5rwWK1o49a35cNtocGL0gxDwhFSTZUQu90BiH9_zqM/edit?usp=sharing"",""RTK!H22"")"),0)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IFERROR(__xludf.DUMMYFUNCTION("IMPORTRANGE(""https://docs.google.com/spreadsheets/d/1w5rwWK1o49a35cNtocGL0gxDwhFSTZUQu90BiH9_zqM/edit?usp=sharing"",""RTK!G22"")"),1000)</f>
        <v>1000</v>
      </c>
      <c r="J387" s="189">
        <f ca="1">IFERROR(__xludf.DUMMYFUNCTION("IMPORTRANGE(""https://docs.google.com/spreadsheets/d/1w5rwWK1o49a35cNtocGL0gxDwhFSTZUQu90BiH9_zqM/edit?usp=sharing"",""RTK!I22"")"),0)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IFERROR(__xludf.DUMMYFUNCTION("IMPORTRANGE(""https://docs.google.com/spreadsheets/d/1w5rwWK1o49a35cNtocGL0gxDwhFSTZUQu90BiH9_zqM/edit?usp=sharing"",""RTK!L22"")"),0)</f>
        <v>0</v>
      </c>
      <c r="K388" s="592">
        <f t="shared" si="256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IFERROR(__xludf.DUMMYFUNCTION("IMPORTRANGE(""https://docs.google.com/spreadsheets/d/1w5rwWK1o49a35cNtocGL0gxDwhFSTZUQu90BiH9_zqM/edit?usp=sharing"",""RTK!K22"")"),0)</f>
        <v>0</v>
      </c>
      <c r="J389" s="661">
        <f ca="1">IFERROR(__xludf.DUMMYFUNCTION("IMPORTRANGE(""https://docs.google.com/spreadsheets/d/1w5rwWK1o49a35cNtocGL0gxDwhFSTZUQu90BiH9_zqM/edit?usp=sharing"",""RTK!M22"")"),0)</f>
        <v>0</v>
      </c>
      <c r="K389" s="592">
        <f t="shared" ca="1" si="256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IFERROR(__xludf.DUMMYFUNCTION("IMPORTRANGE(""https://docs.google.com/spreadsheets/d/1ItG2mGa2ceCfYo0BwxsXqNm01IGEUdYcSSLTEv9YCik/edit?usp=sharing"",""เบิกจ่ายกองทุน!BH22"")"),0)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IFERROR(__xludf.DUMMYFUNCTION("IMPORTRANGE(""https://docs.google.com/spreadsheets/d/1ItG2mGa2ceCfYo0BwxsXqNm01IGEUdYcSSLTEv9YCik/edit?usp=sharing"",""เบิกจ่ายกองทุน!BI22"")"),0)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IFERROR(__xludf.DUMMYFUNCTION("IMPORTRANGE(""https://docs.google.com/spreadsheets/d/1ItG2mGa2ceCfYo0BwxsXqNm01IGEUdYcSSLTEv9YCik/edit?usp=sharing"",""เบิกจ่ายกองทุน!BJ22"")"),0)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IFERROR(__xludf.DUMMYFUNCTION("IMPORTRANGE(""https://docs.google.com/spreadsheets/d/1eHaY18a8A9IcSdp1K8H6x8fbOy06t2VsZHhMHf-1x7Y/edit?usp=sharing"",""แผน!HJ22"")"),0)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IFERROR(__xludf.DUMMYFUNCTION("IMPORTRANGE(""https://docs.google.com/spreadsheets/d/1eHaY18a8A9IcSdp1K8H6x8fbOy06t2VsZHhMHf-1x7Y/edit?usp=sharing"",""แผน!HK22"")"),0)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IFERROR(__xludf.DUMMYFUNCTION("IMPORTRANGE(""https://docs.google.com/spreadsheets/d/1eHaY18a8A9IcSdp1K8H6x8fbOy06t2VsZHhMHf-1x7Y/edit?usp=sharing"",""แผน!HJ22"")"),0)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IFERROR(__xludf.DUMMYFUNCTION("IMPORTRANGE(""https://docs.google.com/spreadsheets/d/1eHaY18a8A9IcSdp1K8H6x8fbOy06t2VsZHhMHf-1x7Y/edit?usp=sharing"",""แผน!HK22"")"),0)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IFERROR(__xludf.DUMMYFUNCTION("IMPORTRANGE(""https://docs.google.com/spreadsheets/d/1eHaY18a8A9IcSdp1K8H6x8fbOy06t2VsZHhMHf-1x7Y/edit?usp=sharing"",""แผน!HJ22"")"),0)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IFERROR(__xludf.DUMMYFUNCTION("IMPORTRANGE(""https://docs.google.com/spreadsheets/d/1eHaY18a8A9IcSdp1K8H6x8fbOy06t2VsZHhMHf-1x7Y/edit?usp=sharing"",""แผน!HK22"")"),0)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IFERROR(__xludf.DUMMYFUNCTION("IMPORTRANGE(""https://docs.google.com/spreadsheets/d/1eHaY18a8A9IcSdp1K8H6x8fbOy06t2VsZHhMHf-1x7Y/edit?usp=sharing"",""แผน!HL22"")"),0)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IFERROR(__xludf.DUMMYFUNCTION("IMPORTRANGE(""https://docs.google.com/spreadsheets/d/1eHaY18a8A9IcSdp1K8H6x8fbOy06t2VsZHhMHf-1x7Y/edit?usp=sharing"",""แผน!HM22"")"),0)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IFERROR(__xludf.DUMMYFUNCTION("IMPORTRANGE(""https://docs.google.com/spreadsheets/d/1eHaY18a8A9IcSdp1K8H6x8fbOy06t2VsZHhMHf-1x7Y/edit?usp=sharing"",""แผน!HN22"")"),0)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IFERROR(__xludf.DUMMYFUNCTION("IMPORTRANGE(""https://docs.google.com/spreadsheets/d/1eHaY18a8A9IcSdp1K8H6x8fbOy06t2VsZHhMHf-1x7Y/edit?usp=sharing"",""แผน!HO22"")"),0)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IFERROR(__xludf.DUMMYFUNCTION("IMPORTRANGE(""https://docs.google.com/spreadsheets/d/1ItG2mGa2ceCfYo0BwxsXqNm01IGEUdYcSSLTEv9YCik/edit?usp=sharing"",""เบิกจ่ายกองทุน!X22"")"),0)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IFERROR(__xludf.DUMMYFUNCTION("IMPORTRANGE(""https://docs.google.com/spreadsheets/d/1ItG2mGa2ceCfYo0BwxsXqNm01IGEUdYcSSLTEv9YCik/edit?usp=sharing"",""เบิกจ่ายกองทุน!Y22"")"),0)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IFERROR(__xludf.DUMMYFUNCTION("IMPORTRANGE(""https://docs.google.com/spreadsheets/d/1ItG2mGa2ceCfYo0BwxsXqNm01IGEUdYcSSLTEv9YCik/edit?usp=sharing"",""เบิกจ่ายกองทุน!Z22"")"),0)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IFERROR(__xludf.DUMMYFUNCTION("IMPORTRANGE(""https://docs.google.com/spreadsheets/d/1eHaY18a8A9IcSdp1K8H6x8fbOy06t2VsZHhMHf-1x7Y/edit?usp=sharing"",""แผน!GX22"")"),0)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IFERROR(__xludf.DUMMYFUNCTION("IMPORTRANGE(""https://docs.google.com/spreadsheets/d/1eHaY18a8A9IcSdp1K8H6x8fbOy06t2VsZHhMHf-1x7Y/edit?usp=sharing"",""แผน!GY22"")"),0)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IFERROR(__xludf.DUMMYFUNCTION("IMPORTRANGE(""https://docs.google.com/spreadsheets/d/1eHaY18a8A9IcSdp1K8H6x8fbOy06t2VsZHhMHf-1x7Y/edit?usp=sharing"",""แผน!GZ22"")"),0)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IFERROR(__xludf.DUMMYFUNCTION("IMPORTRANGE(""https://docs.google.com/spreadsheets/d/1eHaY18a8A9IcSdp1K8H6x8fbOy06t2VsZHhMHf-1x7Y/edit?usp=sharing"",""แผน!HA22"")"),0)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IFERROR(__xludf.DUMMYFUNCTION("IMPORTRANGE(""https://docs.google.com/spreadsheets/d/1eHaY18a8A9IcSdp1K8H6x8fbOy06t2VsZHhMHf-1x7Y/edit?usp=sharing"",""แผน!HB22"")"),0)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IFERROR(__xludf.DUMMYFUNCTION("IMPORTRANGE(""https://docs.google.com/spreadsheets/d/1eHaY18a8A9IcSdp1K8H6x8fbOy06t2VsZHhMHf-1x7Y/edit?usp=sharing"",""แผน!HC22"")"),0)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IFERROR(__xludf.DUMMYFUNCTION("IMPORTRANGE(""https://docs.google.com/spreadsheets/d/1-uDff_7J0KD5mKrp0Vvzr7lt3OU09vwQwhkpOPPYv2Y/edit?usp=sharing"",""งบพรบ!FM22"")"),0)</f>
        <v>0</v>
      </c>
      <c r="M519" s="230">
        <f ca="1">IFERROR(__xludf.DUMMYFUNCTION("IMPORTRANGE(""https://docs.google.com/spreadsheets/d/1-uDff_7J0KD5mKrp0Vvzr7lt3OU09vwQwhkpOPPYv2Y/edit?usp=sharing"",""งบพรบ!FR22"")"),0)</f>
        <v>0</v>
      </c>
      <c r="N519" s="230">
        <f ca="1">IFERROR(__xludf.DUMMYFUNCTION("IMPORTRANGE(""https://docs.google.com/spreadsheets/d/1-uDff_7J0KD5mKrp0Vvzr7lt3OU09vwQwhkpOPPYv2Y/edit?usp=sharing"",""งบพรบ!FT22"")"),0)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IFERROR(__xludf.DUMMYFUNCTION("IMPORTRANGE(""https://docs.google.com/spreadsheets/d/1-uDff_7J0KD5mKrp0Vvzr7lt3OU09vwQwhkpOPPYv2Y/edit?usp=sharing"",""งบพรบ!FP22"")"),0)</f>
        <v>0</v>
      </c>
      <c r="M522" s="230">
        <f ca="1">IFERROR(__xludf.DUMMYFUNCTION("IMPORTRANGE(""https://docs.google.com/spreadsheets/d/1-uDff_7J0KD5mKrp0Vvzr7lt3OU09vwQwhkpOPPYv2Y/edit?usp=sharing"",""งบพรบ!FS22"")"),0)</f>
        <v>0</v>
      </c>
      <c r="N522" s="230">
        <f ca="1">IFERROR(__xludf.DUMMYFUNCTION("IMPORTRANGE(""https://docs.google.com/spreadsheets/d/1-uDff_7J0KD5mKrp0Vvzr7lt3OU09vwQwhkpOPPYv2Y/edit?usp=sharing"",""งบพรบ!FU22"")"),0)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50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6725</v>
      </c>
      <c r="R617" s="515">
        <f t="shared" ca="1" si="384"/>
        <v>6725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6725</v>
      </c>
      <c r="R619" s="230">
        <f t="shared" ca="1" si="388"/>
        <v>6725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6725</v>
      </c>
      <c r="R620" s="230">
        <f t="shared" ca="1" si="390"/>
        <v>6725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IFERROR(__xludf.DUMMYFUNCTION("IMPORTRANGE(""https://docs.google.com/spreadsheets/d/1ItG2mGa2ceCfYo0BwxsXqNm01IGEUdYcSSLTEv9YCik/edit?usp=sharing"",""เบิกจ่ายกองทุน!F22"")"),6725)</f>
        <v>6725</v>
      </c>
      <c r="R622" s="230">
        <f ca="1">IFERROR(__xludf.DUMMYFUNCTION("IMPORTRANGE(""https://docs.google.com/spreadsheets/d/1ItG2mGa2ceCfYo0BwxsXqNm01IGEUdYcSSLTEv9YCik/edit?usp=sharing"",""เบิกจ่ายกองทุน!G22"")"),6725)</f>
        <v>6725</v>
      </c>
      <c r="S622" s="230">
        <f ca="1">IFERROR(__xludf.DUMMYFUNCTION("IMPORTRANGE(""https://docs.google.com/spreadsheets/d/1ItG2mGa2ceCfYo0BwxsXqNm01IGEUdYcSSLTEv9YCik/edit?usp=sharing"",""เบิกจ่ายกองทุน!H22"")"),0)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IFERROR(__xludf.DUMMYFUNCTION("IMPORTRANGE(""https://docs.google.com/spreadsheets/d/1eHaY18a8A9IcSdp1K8H6x8fbOy06t2VsZHhMHf-1x7Y/edit?usp=sharing"",""แผน!ID22"")"),50)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IFERROR(__xludf.DUMMYFUNCTION("IMPORTRANGE(""https://docs.google.com/spreadsheets/d/1eHaY18a8A9IcSdp1K8H6x8fbOy06t2VsZHhMHf-1x7Y/edit?usp=sharing"",""แผน!IC22"")"),0)</f>
        <v>0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IFERROR(__xludf.DUMMYFUNCTION("IMPORTRANGE(""https://docs.google.com/spreadsheets/d/1eHaY18a8A9IcSdp1K8H6x8fbOy06t2VsZHhMHf-1x7Y/edit?usp=sharing"",""แผน!IC22"")"),0)</f>
        <v>0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IFERROR(__xludf.DUMMYFUNCTION("IMPORTRANGE(""https://docs.google.com/spreadsheets/d/1eHaY18a8A9IcSdp1K8H6x8fbOy06t2VsZHhMHf-1x7Y/edit?usp=sharing"",""แผน!IE22"")"),0)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0</v>
      </c>
      <c r="R643" s="515">
        <f t="shared" ca="1" si="398"/>
        <v>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0</v>
      </c>
      <c r="R645" s="230">
        <f t="shared" ca="1" si="402"/>
        <v>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0</v>
      </c>
      <c r="R646" s="230">
        <f t="shared" ca="1" si="404"/>
        <v>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IFERROR(__xludf.DUMMYFUNCTION("IMPORTRANGE(""https://docs.google.com/spreadsheets/d/1ItG2mGa2ceCfYo0BwxsXqNm01IGEUdYcSSLTEv9YCik/edit?usp=sharing"",""เบิกจ่ายกองทุน!I22"")"),0)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IFERROR(__xludf.DUMMYFUNCTION("IMPORTRANGE(""https://docs.google.com/spreadsheets/d/1ItG2mGa2ceCfYo0BwxsXqNm01IGEUdYcSSLTEv9YCik/edit?usp=sharing"",""เบิกจ่ายกองทุน!J22"")"),0)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IFERROR(__xludf.DUMMYFUNCTION("IMPORTRANGE(""https://docs.google.com/spreadsheets/d/1ItG2mGa2ceCfYo0BwxsXqNm01IGEUdYcSSLTEv9YCik/edit?usp=sharing"",""เบิกจ่ายกองทุน!K22"")"),0)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IFERROR(__xludf.DUMMYFUNCTION("IMPORTRANGE(""https://docs.google.com/spreadsheets/d/1eHaY18a8A9IcSdp1K8H6x8fbOy06t2VsZHhMHf-1x7Y/edit?usp=sharing"",""แผน!IF22"")"),0)</f>
        <v>0</v>
      </c>
      <c r="J653" s="189">
        <f ca="1">IFERROR(__xludf.DUMMYFUNCTION("IMPORTRANGE(""https://docs.google.com/spreadsheets/d/1tdoBKaGub7dwA3U6UFTqxio9LNnvDCQjHKmttSEBsFQ/edit?usp=sharing"",""จัดที่ดิน!AU22"")"),0)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IFERROR(__xludf.DUMMYFUNCTION("IMPORTRANGE(""https://docs.google.com/spreadsheets/d/1eHaY18a8A9IcSdp1K8H6x8fbOy06t2VsZHhMHf-1x7Y/edit?usp=sharing"",""แผน!IG22"")"),0)</f>
        <v>0</v>
      </c>
      <c r="J654" s="189">
        <f ca="1">IFERROR(__xludf.DUMMYFUNCTION("IMPORTRANGE(""https://docs.google.com/spreadsheets/d/1tdoBKaGub7dwA3U6UFTqxio9LNnvDCQjHKmttSEBsFQ/edit?usp=sharing"",""จัดที่ดิน!AW22"")"),0)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IFERROR(__xludf.DUMMYFUNCTION("IMPORTRANGE(""https://docs.google.com/spreadsheets/d/1eHaY18a8A9IcSdp1K8H6x8fbOy06t2VsZHhMHf-1x7Y/edit?usp=sharing"",""แผน!IH22"")"),0)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IFERROR(__xludf.DUMMYFUNCTION("IMPORTRANGE(""https://docs.google.com/spreadsheets/d/1eHaY18a8A9IcSdp1K8H6x8fbOy06t2VsZHhMHf-1x7Y/edit?usp=sharing"",""แผน!II22"")"),0)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IFERROR(__xludf.DUMMYFUNCTION("IMPORTRANGE(""https://docs.google.com/spreadsheets/d/1eHaY18a8A9IcSdp1K8H6x8fbOy06t2VsZHhMHf-1x7Y/edit?usp=sharing"",""แผน!IJ22"")"),0)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IFERROR(__xludf.DUMMYFUNCTION("IMPORTRANGE(""https://docs.google.com/spreadsheets/d/1eHaY18a8A9IcSdp1K8H6x8fbOy06t2VsZHhMHf-1x7Y/edit?usp=sharing"",""แผน!IK22"")"),0)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IFERROR(__xludf.DUMMYFUNCTION("IMPORTRANGE(""https://docs.google.com/spreadsheets/d/1tdoBKaGub7dwA3U6UFTqxio9LNnvDCQjHKmttSEBsFQ/edit?usp=sharing"",""จัดที่ดิน!AY22"")"),0)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IFERROR(__xludf.DUMMYFUNCTION("IMPORTRANGE(""https://docs.google.com/spreadsheets/d/1tdoBKaGub7dwA3U6UFTqxio9LNnvDCQjHKmttSEBsFQ/edit?usp=sharing"",""จัดที่ดิน!AZ22"")"),0)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IFERROR(__xludf.DUMMYFUNCTION("IMPORTRANGE(""https://docs.google.com/spreadsheets/d/1eHaY18a8A9IcSdp1K8H6x8fbOy06t2VsZHhMHf-1x7Y/edit?usp=sharing"",""แผน!IL22"")"),0)</f>
        <v>0</v>
      </c>
      <c r="J674" s="189">
        <f ca="1">IFERROR(__xludf.DUMMYFUNCTION("IMPORTRANGE(""https://docs.google.com/spreadsheets/d/1tdoBKaGub7dwA3U6UFTqxio9LNnvDCQjHKmttSEBsFQ/edit?usp=sharing"",""จัดที่ดิน!BA22"")"),0)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IFERROR(__xludf.DUMMYFUNCTION("IMPORTRANGE(""https://docs.google.com/spreadsheets/d/1eHaY18a8A9IcSdp1K8H6x8fbOy06t2VsZHhMHf-1x7Y/edit?usp=sharing"",""แผน!IM22"")"),0)</f>
        <v>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IFERROR(__xludf.DUMMYFUNCTION("IMPORTRANGE(""https://docs.google.com/spreadsheets/d/1eHaY18a8A9IcSdp1K8H6x8fbOy06t2VsZHhMHf-1x7Y/edit?usp=sharing"",""แผน!IN22"")"),0)</f>
        <v>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IFERROR(__xludf.DUMMYFUNCTION("IMPORTRANGE(""https://docs.google.com/spreadsheets/d/1eHaY18a8A9IcSdp1K8H6x8fbOy06t2VsZHhMHf-1x7Y/edit?usp=sharing"",""แผน!IO22"")"),0)</f>
        <v>0</v>
      </c>
      <c r="J677" s="189">
        <f ca="1">IFERROR(__xludf.DUMMYFUNCTION("IMPORTRANGE(""https://docs.google.com/spreadsheets/d/1tdoBKaGub7dwA3U6UFTqxio9LNnvDCQjHKmttSEBsFQ/edit?usp=sharing"",""จัดที่ดิน!BF22"")"),0)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IFERROR(__xludf.DUMMYFUNCTION("IMPORTRANGE(""https://docs.google.com/spreadsheets/d/1tdoBKaGub7dwA3U6UFTqxio9LNnvDCQjHKmttSEBsFQ/edit?usp=sharing"",""จัดที่ดิน!BG22"")"),0)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IFERROR(__xludf.DUMMYFUNCTION("IMPORTRANGE(""https://docs.google.com/spreadsheets/d/1eHaY18a8A9IcSdp1K8H6x8fbOy06t2VsZHhMHf-1x7Y/edit?usp=sharing"",""แผน!IP22"")"),0)</f>
        <v>0</v>
      </c>
      <c r="J679" s="189">
        <f ca="1">IFERROR(__xludf.DUMMYFUNCTION("IMPORTRANGE(""https://docs.google.com/spreadsheets/d/1tdoBKaGub7dwA3U6UFTqxio9LNnvDCQjHKmttSEBsFQ/edit?usp=sharing"",""จัดที่ดิน!BH22"")"),0)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IFERROR(__xludf.DUMMYFUNCTION("IMPORTRANGE(""https://docs.google.com/spreadsheets/d/1eHaY18a8A9IcSdp1K8H6x8fbOy06t2VsZHhMHf-1x7Y/edit?usp=sharing"",""แผน!IQ22"")"),0)</f>
        <v>0</v>
      </c>
      <c r="J680" s="189">
        <f ca="1">IFERROR(__xludf.DUMMYFUNCTION("IMPORTRANGE(""https://docs.google.com/spreadsheets/d/1tdoBKaGub7dwA3U6UFTqxio9LNnvDCQjHKmttSEBsFQ/edit?usp=sharing"",""จัดที่ดิน!BK22"")"),0)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IFERROR(__xludf.DUMMYFUNCTION("IMPORTRANGE(""https://docs.google.com/spreadsheets/d/1tdoBKaGub7dwA3U6UFTqxio9LNnvDCQjHKmttSEBsFQ/edit?usp=sharing"",""จัดที่ดิน!BL22"")"),0)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IFERROR(__xludf.DUMMYFUNCTION("IMPORTRANGE(""https://docs.google.com/spreadsheets/d/1eHaY18a8A9IcSdp1K8H6x8fbOy06t2VsZHhMHf-1x7Y/edit?usp=sharing"",""แผน!IR22"")"),0)</f>
        <v>0</v>
      </c>
      <c r="J682" s="189">
        <f ca="1">IFERROR(__xludf.DUMMYFUNCTION("IMPORTRANGE(""https://docs.google.com/spreadsheets/d/1tdoBKaGub7dwA3U6UFTqxio9LNnvDCQjHKmttSEBsFQ/edit?usp=sharing"",""จัดที่ดิน!BM22"")"),0)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IFERROR(__xludf.DUMMYFUNCTION("IMPORTRANGE(""https://docs.google.com/spreadsheets/d/1eHaY18a8A9IcSdp1K8H6x8fbOy06t2VsZHhMHf-1x7Y/edit?usp=sharing"",""แผน!IS22"")"),0)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1">I708</f>
        <v>93</v>
      </c>
      <c r="J690" s="756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206850</v>
      </c>
      <c r="R691" s="515">
        <f t="shared" ca="1" si="415"/>
        <v>206850</v>
      </c>
      <c r="S691" s="515">
        <f t="shared" ca="1" si="415"/>
        <v>0</v>
      </c>
      <c r="T691" s="515">
        <f t="shared" ref="T691:T699" ca="1" si="416">IF(Q691&gt;0,S691*100/Q691,0)</f>
        <v>0</v>
      </c>
      <c r="U691" s="515">
        <f t="shared" ref="U691:U699" ca="1" si="417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206850</v>
      </c>
      <c r="R693" s="230">
        <f t="shared" ca="1" si="419"/>
        <v>206850</v>
      </c>
      <c r="S693" s="230">
        <f t="shared" ca="1" si="419"/>
        <v>0</v>
      </c>
      <c r="T693" s="230">
        <f t="shared" ca="1" si="416"/>
        <v>0</v>
      </c>
      <c r="U693" s="230">
        <f t="shared" ca="1" si="417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206850</v>
      </c>
      <c r="R694" s="230">
        <f t="shared" ca="1" si="421"/>
        <v>206850</v>
      </c>
      <c r="S694" s="230">
        <f t="shared" ca="1" si="421"/>
        <v>0</v>
      </c>
      <c r="T694" s="230">
        <f t="shared" ca="1" si="416"/>
        <v>0</v>
      </c>
      <c r="U694" s="230">
        <f t="shared" ca="1" si="417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6" s="230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6" s="230">
        <f ca="1">IFERROR(__xludf.DUMMYFUNCTION("IMPORTRANGE(""https://docs.google.com/spreadsheets/d/1ItG2mGa2ceCfYo0BwxsXqNm01IGEUdYcSSLTEv9YCik/edit?usp=sharing"",""เบิกจ่ายกองทุน!N22"")"),0)</f>
        <v>0</v>
      </c>
      <c r="T696" s="230">
        <f t="shared" ca="1" si="416"/>
        <v>0</v>
      </c>
      <c r="U696" s="230">
        <f t="shared" ca="1" si="417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IFERROR(__xludf.DUMMYFUNCTION("IMPORTRANGE(""https://docs.google.com/spreadsheets/d/1eHaY18a8A9IcSdp1K8H6x8fbOy06t2VsZHhMHf-1x7Y/edit?usp=sharing"",""แผน!LC22"")"),0)</f>
        <v>0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98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IFERROR(__xludf.DUMMYFUNCTION("IMPORTRANGE(""https://docs.google.com/spreadsheets/d/1eHaY18a8A9IcSdp1K8H6x8fbOy06t2VsZHhMHf-1x7Y/edit?usp=sharing"",""แผน!LJ22"")"),93)</f>
        <v>93</v>
      </c>
      <c r="J704" s="189">
        <f ca="1">IFERROR(__xludf.DUMMYFUNCTION("IMPORTRANGE(""https://docs.google.com/spreadsheets/d/1tdoBKaGub7dwA3U6UFTqxio9LNnvDCQjHKmttSEBsFQ/edit?usp=sharing"",""จัดที่ดิน!AP22"")"),0)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IFERROR(__xludf.DUMMYFUNCTION("IMPORTRANGE(""https://docs.google.com/spreadsheets/d/1tdoBKaGub7dwA3U6UFTqxio9LNnvDCQjHKmttSEBsFQ/edit?usp=sharing"",""จัดที่ดิน!AQ22"")"),0)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IFERROR(__xludf.DUMMYFUNCTION("IMPORTRANGE(""https://docs.google.com/spreadsheets/d/1eHaY18a8A9IcSdp1K8H6x8fbOy06t2VsZHhMHf-1x7Y/edit?usp=sharing"",""แผน!LK22"")"),5)</f>
        <v>5</v>
      </c>
      <c r="J706" s="189">
        <f ca="1">IFERROR(__xludf.DUMMYFUNCTION("IMPORTRANGE(""https://docs.google.com/spreadsheets/d/1tdoBKaGub7dwA3U6UFTqxio9LNnvDCQjHKmttSEBsFQ/edit?usp=sharing"",""จัดที่ดิน!AR22"")"),0)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IFERROR(__xludf.DUMMYFUNCTION("IMPORTRANGE(""https://docs.google.com/spreadsheets/d/1tdoBKaGub7dwA3U6UFTqxio9LNnvDCQjHKmttSEBsFQ/edit?usp=sharing"",""จัดที่ดิน!AS22"")"),0)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IFERROR(__xludf.DUMMYFUNCTION("IMPORTRANGE(""https://docs.google.com/spreadsheets/d/1eHaY18a8A9IcSdp1K8H6x8fbOy06t2VsZHhMHf-1x7Y/edit?usp=sharing"",""แผน!LJ22"")"),93)</f>
        <v>93</v>
      </c>
      <c r="J708" s="189">
        <f ca="1">IFERROR(__xludf.DUMMYFUNCTION("IMPORTRANGE(""https://docs.google.com/spreadsheets/d/1tdoBKaGub7dwA3U6UFTqxio9LNnvDCQjHKmttSEBsFQ/edit?usp=sharing"",""จัดที่ดิน!BN22"")"),0)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IFERROR(__xludf.DUMMYFUNCTION("IMPORTRANGE(""https://docs.google.com/spreadsheets/d/1tdoBKaGub7dwA3U6UFTqxio9LNnvDCQjHKmttSEBsFQ/edit?usp=sharing"",""จัดที่ดิน!BO22"")"),0)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IFERROR(__xludf.DUMMYFUNCTION("IMPORTRANGE(""https://docs.google.com/spreadsheets/d/1eHaY18a8A9IcSdp1K8H6x8fbOy06t2VsZHhMHf-1x7Y/edit?usp=sharing"",""แผน!LK22"")"),5)</f>
        <v>5</v>
      </c>
      <c r="J710" s="189">
        <f ca="1">IFERROR(__xludf.DUMMYFUNCTION("IMPORTRANGE(""https://docs.google.com/spreadsheets/d/1tdoBKaGub7dwA3U6UFTqxio9LNnvDCQjHKmttSEBsFQ/edit?usp=sharing"",""จัดที่ดิน!BP22"")"),0)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IFERROR(__xludf.DUMMYFUNCTION("IMPORTRANGE(""https://docs.google.com/spreadsheets/d/1tdoBKaGub7dwA3U6UFTqxio9LNnvDCQjHKmttSEBsFQ/edit?usp=sharing"",""จัดที่ดิน!BQ22"")"),0)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IFERROR(__xludf.DUMMYFUNCTION("IMPORTRANGE(""https://docs.google.com/spreadsheets/d/1eHaY18a8A9IcSdp1K8H6x8fbOy06t2VsZHhMHf-1x7Y/edit?usp=sharing"",""แผน!GA22"")"),128)</f>
        <v>128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IFERROR(__xludf.DUMMYFUNCTION("IMPORTRANGE(""https://docs.google.com/spreadsheets/d/1eHaY18a8A9IcSdp1K8H6x8fbOy06t2VsZHhMHf-1x7Y/edit?usp=sharing"",""แผน!FZ22"")"),1250)</f>
        <v>1250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1008470</v>
      </c>
      <c r="R729" s="515">
        <f t="shared" ca="1" si="442"/>
        <v>1008470</v>
      </c>
      <c r="S729" s="515">
        <f t="shared" ca="1" si="442"/>
        <v>0</v>
      </c>
      <c r="T729" s="515">
        <f t="shared" ref="T729:T737" ca="1" si="443">IF(Q729&gt;0,S729*100/Q729,0)</f>
        <v>0</v>
      </c>
      <c r="U729" s="515">
        <f t="shared" ref="U729:U737" ca="1" si="444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1008470</v>
      </c>
      <c r="R731" s="230">
        <f t="shared" ca="1" si="446"/>
        <v>1008470</v>
      </c>
      <c r="S731" s="230">
        <f t="shared" ca="1" si="446"/>
        <v>0</v>
      </c>
      <c r="T731" s="230">
        <f t="shared" ca="1" si="443"/>
        <v>0</v>
      </c>
      <c r="U731" s="230">
        <f t="shared" ca="1" si="444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1008470</v>
      </c>
      <c r="R732" s="230">
        <f t="shared" ca="1" si="448"/>
        <v>1008470</v>
      </c>
      <c r="S732" s="230">
        <f t="shared" ca="1" si="448"/>
        <v>0</v>
      </c>
      <c r="T732" s="230">
        <f t="shared" ca="1" si="443"/>
        <v>0</v>
      </c>
      <c r="U732" s="230">
        <f t="shared" ca="1" si="444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IFERROR(__xludf.DUMMYFUNCTION("IMPORTRANGE(""https://docs.google.com/spreadsheets/d/1ItG2mGa2ceCfYo0BwxsXqNm01IGEUdYcSSLTEv9YCik/edit?usp=sharing"",""เบิกจ่ายกองทุน!Q22"")"),0)</f>
        <v>0</v>
      </c>
      <c r="T734" s="230">
        <f t="shared" ca="1" si="443"/>
        <v>0</v>
      </c>
      <c r="U734" s="230">
        <f t="shared" ca="1" si="444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IFERROR(__xludf.DUMMYFUNCTION("IMPORTRANGE(""https://docs.google.com/spreadsheets/d/1eHaY18a8A9IcSdp1K8H6x8fbOy06t2VsZHhMHf-1x7Y/edit?usp=sharing"",""แผน!GB22"")"),1000)</f>
        <v>1000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IFERROR(__xludf.DUMMYFUNCTION("IMPORTRANGE(""https://docs.google.com/spreadsheets/d/1eHaY18a8A9IcSdp1K8H6x8fbOy06t2VsZHhMHf-1x7Y/edit?usp=sharing"",""แผน!GC22"")"),100)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IFERROR(__xludf.DUMMYFUNCTION("IMPORTRANGE(""https://docs.google.com/spreadsheets/d/1eHaY18a8A9IcSdp1K8H6x8fbOy06t2VsZHhMHf-1x7Y/edit?usp=sharing"",""แผน!GD22"")"),250)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IFERROR(__xludf.DUMMYFUNCTION("IMPORTRANGE(""https://docs.google.com/spreadsheets/d/1eHaY18a8A9IcSdp1K8H6x8fbOy06t2VsZHhMHf-1x7Y/edit?usp=sharing"",""แผน!GE22"")"),25)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IFERROR(__xludf.DUMMYFUNCTION("IMPORTRANGE(""https://docs.google.com/spreadsheets/d/1eHaY18a8A9IcSdp1K8H6x8fbOy06t2VsZHhMHf-1x7Y/edit?usp=sharing"",""แผน!GF22"")"),3)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IFERROR(__xludf.DUMMYFUNCTION("IMPORTRANGE(""https://docs.google.com/spreadsheets/d/1eHaY18a8A9IcSdp1K8H6x8fbOy06t2VsZHhMHf-1x7Y/edit?usp=sharing"",""แผน!GC22"")"),100)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IFERROR(__xludf.DUMMYFUNCTION("IMPORTRANGE(""https://docs.google.com/spreadsheets/d/1eHaY18a8A9IcSdp1K8H6x8fbOy06t2VsZHhMHf-1x7Y/edit?usp=sharing"",""แผน!GE22"")"),25)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hidden="1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0</v>
      </c>
      <c r="R760" s="515">
        <f t="shared" ca="1" si="457"/>
        <v>0</v>
      </c>
      <c r="S760" s="515">
        <f t="shared" ca="1" si="457"/>
        <v>0</v>
      </c>
      <c r="T760" s="515">
        <f t="shared" ref="T760:T768" ca="1" si="458">IF(Q760&gt;0,S760*100/Q760,0)</f>
        <v>0</v>
      </c>
      <c r="U760" s="515">
        <f t="shared" ref="U760:U768" ca="1" si="459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0</v>
      </c>
      <c r="R762" s="230">
        <f t="shared" ca="1" si="461"/>
        <v>0</v>
      </c>
      <c r="S762" s="230">
        <f t="shared" ca="1" si="461"/>
        <v>0</v>
      </c>
      <c r="T762" s="230">
        <f t="shared" ca="1" si="458"/>
        <v>0</v>
      </c>
      <c r="U762" s="230">
        <f t="shared" ca="1" si="459"/>
        <v>0</v>
      </c>
    </row>
    <row r="763" spans="1:21" ht="18.75" hidden="1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0</v>
      </c>
      <c r="R763" s="230">
        <f t="shared" ca="1" si="463"/>
        <v>0</v>
      </c>
      <c r="S763" s="230">
        <f t="shared" ca="1" si="463"/>
        <v>0</v>
      </c>
      <c r="T763" s="230">
        <f t="shared" ca="1" si="458"/>
        <v>0</v>
      </c>
      <c r="U763" s="230">
        <f t="shared" ca="1" si="459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IFERROR(__xludf.DUMMYFUNCTION("IMPORTRANGE(""https://docs.google.com/spreadsheets/d/1ItG2mGa2ceCfYo0BwxsXqNm01IGEUdYcSSLTEv9YCik/edit?usp=sharing"",""เบิกจ่ายกองทุน!U22"")"),0)</f>
        <v>0</v>
      </c>
      <c r="R765" s="230">
        <f ca="1">IFERROR(__xludf.DUMMYFUNCTION("IMPORTRANGE(""https://docs.google.com/spreadsheets/d/1ItG2mGa2ceCfYo0BwxsXqNm01IGEUdYcSSLTEv9YCik/edit?usp=sharing"",""เบิกจ่ายกองทุน!V22"")"),0)</f>
        <v>0</v>
      </c>
      <c r="S765" s="230">
        <f ca="1">IFERROR(__xludf.DUMMYFUNCTION("IMPORTRANGE(""https://docs.google.com/spreadsheets/d/1ItG2mGa2ceCfYo0BwxsXqNm01IGEUdYcSSLTEv9YCik/edit?usp=sharing"",""เบิกจ่ายกองทุน!W22"")"),0)</f>
        <v>0</v>
      </c>
      <c r="T765" s="230">
        <f t="shared" ca="1" si="458"/>
        <v>0</v>
      </c>
      <c r="U765" s="230">
        <f t="shared" ca="1" si="459"/>
        <v>0</v>
      </c>
    </row>
    <row r="766" spans="1:21" ht="18.75" hidden="1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hidden="1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IFERROR(__xludf.DUMMYFUNCTION("IMPORTRANGE(""https://docs.google.com/spreadsheets/d/1eHaY18a8A9IcSdp1K8H6x8fbOy06t2VsZHhMHf-1x7Y/edit?usp=sharing"",""แผน!FI22"")"),0)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hidden="1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IFERROR(__xludf.DUMMYFUNCTION("IMPORTRANGE(""https://docs.google.com/spreadsheets/d/1eHaY18a8A9IcSdp1K8H6x8fbOy06t2VsZHhMHf-1x7Y/edit?usp=sharing"",""แผน!FQ22"")"),0)</f>
        <v>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hidden="1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hidden="1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IFERROR(__xludf.DUMMYFUNCTION("IMPORTRANGE(""https://docs.google.com/spreadsheets/d/1eHaY18a8A9IcSdp1K8H6x8fbOy06t2VsZHhMHf-1x7Y/edit?usp=sharing"",""แผน!FR22"")"),0)</f>
        <v>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hidden="1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IFERROR(__xludf.DUMMYFUNCTION("IMPORTRANGE(""https://docs.google.com/spreadsheets/d/1eHaY18a8A9IcSdp1K8H6x8fbOy06t2VsZHhMHf-1x7Y/edit?usp=sharing"",""แผน!FS22"")"),0)</f>
        <v>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hidden="1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IFERROR(__xludf.DUMMYFUNCTION("IMPORTRANGE(""https://docs.google.com/spreadsheets/d/1eHaY18a8A9IcSdp1K8H6x8fbOy06t2VsZHhMHf-1x7Y/edit?usp=sharing"",""แผน!FT22"")"),0)</f>
        <v>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IFERROR(__xludf.DUMMYFUNCTION("IMPORTRANGE(""https://docs.google.com/spreadsheets/d/10OvvATaaLtwErnr3qtWFcTmtbfpFEt5Bsqel9sXx0uE/edit?usp=sharing"",""งานกองทุน!D22"")"),4046685.39)</f>
        <v>4046685.39</v>
      </c>
      <c r="J778" s="189">
        <f ca="1">IFERROR(__xludf.DUMMYFUNCTION("IMPORTRANGE(""https://docs.google.com/spreadsheets/d/10OvvATaaLtwErnr3qtWFcTmtbfpFEt5Bsqel9sXx0uE/edit?usp=sharing"",""งานกองทุน!F22"")"),229372.31)</f>
        <v>229372.31</v>
      </c>
      <c r="K778" s="230">
        <f t="shared" ref="K778:K785" ca="1" si="466">IF(I778&gt;0,J778*100/I778,0)</f>
        <v>5.6681527693458769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IFERROR(__xludf.DUMMYFUNCTION("IMPORTRANGE(""https://docs.google.com/spreadsheets/d/10OvvATaaLtwErnr3qtWFcTmtbfpFEt5Bsqel9sXx0uE/edit?usp=sharing"",""งานกองทุน!C22"")"),278)</f>
        <v>278</v>
      </c>
      <c r="J779" s="189">
        <f ca="1">IFERROR(__xludf.DUMMYFUNCTION("IMPORTRANGE(""https://docs.google.com/spreadsheets/d/10OvvATaaLtwErnr3qtWFcTmtbfpFEt5Bsqel9sXx0uE/edit?usp=sharing"",""งานกองทุน!E22"")"),15)</f>
        <v>15</v>
      </c>
      <c r="K779" s="230">
        <f t="shared" ca="1" si="466"/>
        <v>5.3956834532374103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89">
        <f ca="1">IFERROR(__xludf.DUMMYFUNCTION("IMPORTRANGE(""https://docs.google.com/spreadsheets/d/10OvvATaaLtwErnr3qtWFcTmtbfpFEt5Bsqel9sXx0uE/edit?usp=sharing"",""งานกองทุน!K22"")"),98617)</f>
        <v>98617</v>
      </c>
      <c r="K780" s="230">
        <f t="shared" ca="1" si="466"/>
        <v>4.5818619039821975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IFERROR(__xludf.DUMMYFUNCTION("IMPORTRANGE(""https://docs.google.com/spreadsheets/d/10OvvATaaLtwErnr3qtWFcTmtbfpFEt5Bsqel9sXx0uE/edit?usp=sharing"",""งานกองทุน!H22"")"),97)</f>
        <v>97</v>
      </c>
      <c r="J781" s="189">
        <f ca="1">IFERROR(__xludf.DUMMYFUNCTION("IMPORTRANGE(""https://docs.google.com/spreadsheets/d/10OvvATaaLtwErnr3qtWFcTmtbfpFEt5Bsqel9sXx0uE/edit?usp=sharing"",""งานกองทุน!J22"")"),12)</f>
        <v>12</v>
      </c>
      <c r="K781" s="230">
        <f t="shared" ca="1" si="466"/>
        <v>12.371134020618557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IFERROR(__xludf.DUMMYFUNCTION("IMPORTRANGE(""https://docs.google.com/spreadsheets/d/10OvvATaaLtwErnr3qtWFcTmtbfpFEt5Bsqel9sXx0uE/edit?usp=sharing"",""งานกองทุน!N22"")"),0)</f>
        <v>0</v>
      </c>
      <c r="J782" s="189">
        <f ca="1">IFERROR(__xludf.DUMMYFUNCTION("IMPORTRANGE(""https://docs.google.com/spreadsheets/d/10OvvATaaLtwErnr3qtWFcTmtbfpFEt5Bsqel9sXx0uE/edit?usp=sharing"",""งานกองทุน!P22"")"),0)</f>
        <v>0</v>
      </c>
      <c r="K782" s="230">
        <f t="shared" ca="1" si="466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IFERROR(__xludf.DUMMYFUNCTION("IMPORTRANGE(""https://docs.google.com/spreadsheets/d/10OvvATaaLtwErnr3qtWFcTmtbfpFEt5Bsqel9sXx0uE/edit?usp=sharing"",""งานกองทุน!M22"")"),0)</f>
        <v>0</v>
      </c>
      <c r="J783" s="189">
        <f ca="1">IFERROR(__xludf.DUMMYFUNCTION("IMPORTRANGE(""https://docs.google.com/spreadsheets/d/10OvvATaaLtwErnr3qtWFcTmtbfpFEt5Bsqel9sXx0uE/edit?usp=sharing"",""งานกองทุน!O22"")"),0)</f>
        <v>0</v>
      </c>
      <c r="K783" s="230">
        <f t="shared" ca="1" si="466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IFERROR(__xludf.DUMMYFUNCTION("IMPORTRANGE(""https://docs.google.com/spreadsheets/d/10OvvATaaLtwErnr3qtWFcTmtbfpFEt5Bsqel9sXx0uE/edit?usp=sharing"",""งานกองทุน!S22"")"),4928000)</f>
        <v>4928000</v>
      </c>
      <c r="J784" s="189">
        <f ca="1">IFERROR(__xludf.DUMMYFUNCTION("IMPORTRANGE(""https://docs.google.com/spreadsheets/d/10OvvATaaLtwErnr3qtWFcTmtbfpFEt5Bsqel9sXx0uE/edit?usp=sharing"",""งานกองทุน!U22"")"),430000)</f>
        <v>430000</v>
      </c>
      <c r="K784" s="230">
        <f t="shared" ca="1" si="466"/>
        <v>8.7256493506493502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IFERROR(__xludf.DUMMYFUNCTION("IMPORTRANGE(""https://docs.google.com/spreadsheets/d/10OvvATaaLtwErnr3qtWFcTmtbfpFEt5Bsqel9sXx0uE/edit?usp=sharing"",""งานกองทุน!R22"")"),176)</f>
        <v>176</v>
      </c>
      <c r="J785" s="194">
        <f ca="1">IFERROR(__xludf.DUMMYFUNCTION("IMPORTRANGE(""https://docs.google.com/spreadsheets/d/10OvvATaaLtwErnr3qtWFcTmtbfpFEt5Bsqel9sXx0uE/edit?usp=sharing"",""งานกองทุน!T22"")"),14)</f>
        <v>14</v>
      </c>
      <c r="K785" s="461">
        <f t="shared" ca="1" si="466"/>
        <v>7.9545454545454541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F4285-4D7E-4F81-82AC-82B9DC4632D5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324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17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2910905</v>
      </c>
      <c r="M19" s="474">
        <f t="shared" ca="1" si="0"/>
        <v>3159080</v>
      </c>
      <c r="N19" s="474">
        <f t="shared" ca="1" si="0"/>
        <v>1695162.95</v>
      </c>
      <c r="O19" s="474">
        <f t="shared" ref="O19:O27" ca="1" si="1">IF(L19&gt;0,N19*100/L19,0)</f>
        <v>58.23491147941963</v>
      </c>
      <c r="P19" s="474">
        <f t="shared" ref="P19:P27" ca="1" si="2">IF(M19&gt;0,N19*100/M19,0)</f>
        <v>53.660019689276623</v>
      </c>
      <c r="Q19" s="474">
        <f t="shared" ref="Q19:S19" ca="1" si="3">Q20+Q21</f>
        <v>2624572.2400000002</v>
      </c>
      <c r="R19" s="474">
        <f t="shared" ca="1" si="3"/>
        <v>2624572</v>
      </c>
      <c r="S19" s="474">
        <f t="shared" ca="1" si="3"/>
        <v>61560</v>
      </c>
      <c r="T19" s="474">
        <f t="shared" ref="T19:T27" ca="1" si="4">IF(Q19&gt;0,S19*100/Q19,0)</f>
        <v>2.3455250749737409</v>
      </c>
      <c r="U19" s="474">
        <f t="shared" ref="U19:U27" ca="1" si="5">IF(R19&gt;0,S19*100/R19,0)</f>
        <v>2.3455252894567189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2910905</v>
      </c>
      <c r="M21" s="480">
        <f t="shared" ca="1" si="6"/>
        <v>3159080</v>
      </c>
      <c r="N21" s="480">
        <f t="shared" ca="1" si="6"/>
        <v>1695162.95</v>
      </c>
      <c r="O21" s="480">
        <f t="shared" ca="1" si="1"/>
        <v>58.23491147941963</v>
      </c>
      <c r="P21" s="480">
        <f t="shared" ca="1" si="2"/>
        <v>53.660019689276623</v>
      </c>
      <c r="Q21" s="480">
        <f t="shared" ca="1" si="7"/>
        <v>2624572.2400000002</v>
      </c>
      <c r="R21" s="480">
        <f t="shared" ca="1" si="7"/>
        <v>2624572</v>
      </c>
      <c r="S21" s="480">
        <f t="shared" ca="1" si="7"/>
        <v>61560</v>
      </c>
      <c r="T21" s="480">
        <f t="shared" ca="1" si="4"/>
        <v>2.3455250749737409</v>
      </c>
      <c r="U21" s="480">
        <f t="shared" ca="1" si="5"/>
        <v>2.3455252894567189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2910905</v>
      </c>
      <c r="M22" s="230">
        <f t="shared" ca="1" si="8"/>
        <v>3159080</v>
      </c>
      <c r="N22" s="230">
        <f t="shared" ca="1" si="8"/>
        <v>1695162.95</v>
      </c>
      <c r="O22" s="230">
        <f t="shared" ca="1" si="1"/>
        <v>58.23491147941963</v>
      </c>
      <c r="P22" s="230">
        <f t="shared" ca="1" si="2"/>
        <v>53.660019689276623</v>
      </c>
      <c r="Q22" s="230">
        <f t="shared" ref="Q22:S22" ca="1" si="9">Q23+Q24</f>
        <v>2624572.2400000002</v>
      </c>
      <c r="R22" s="230">
        <f t="shared" ca="1" si="9"/>
        <v>2624572</v>
      </c>
      <c r="S22" s="230">
        <f t="shared" ca="1" si="9"/>
        <v>61560</v>
      </c>
      <c r="T22" s="230">
        <f t="shared" ca="1" si="4"/>
        <v>2.3455250749737409</v>
      </c>
      <c r="U22" s="230">
        <f t="shared" ca="1" si="5"/>
        <v>2.3455252894567189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2910905</v>
      </c>
      <c r="M24" s="230">
        <f t="shared" ca="1" si="10"/>
        <v>3159080</v>
      </c>
      <c r="N24" s="230">
        <f t="shared" ca="1" si="10"/>
        <v>1695162.95</v>
      </c>
      <c r="O24" s="230">
        <f t="shared" ca="1" si="1"/>
        <v>58.23491147941963</v>
      </c>
      <c r="P24" s="230">
        <f t="shared" ca="1" si="2"/>
        <v>53.660019689276623</v>
      </c>
      <c r="Q24" s="230">
        <f t="shared" ca="1" si="11"/>
        <v>2624572.2400000002</v>
      </c>
      <c r="R24" s="230">
        <f t="shared" ca="1" si="11"/>
        <v>2624572</v>
      </c>
      <c r="S24" s="230">
        <f t="shared" ca="1" si="11"/>
        <v>61560</v>
      </c>
      <c r="T24" s="230">
        <f t="shared" ca="1" si="4"/>
        <v>2.3455250749737409</v>
      </c>
      <c r="U24" s="230">
        <f t="shared" ca="1" si="5"/>
        <v>2.3455252894567189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2910905</v>
      </c>
      <c r="M41" s="487">
        <f t="shared" ca="1" si="16"/>
        <v>3159080</v>
      </c>
      <c r="N41" s="487">
        <f t="shared" ca="1" si="16"/>
        <v>1695162.95</v>
      </c>
      <c r="O41" s="487">
        <f ca="1">IF(L41&gt;0,N41*100/L41,0)</f>
        <v>58.23491147941963</v>
      </c>
      <c r="P41" s="487">
        <f ca="1">IF(M41&gt;0,N41*100/M41,0)</f>
        <v>53.660019689276623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345850</v>
      </c>
      <c r="M45" s="491">
        <f t="shared" ca="1" si="17"/>
        <v>486775</v>
      </c>
      <c r="N45" s="491">
        <f t="shared" ca="1" si="17"/>
        <v>309325</v>
      </c>
      <c r="O45" s="491">
        <f t="shared" ref="O45:O53" ca="1" si="18">IF(L45&gt;0,N45*100/L45,0)</f>
        <v>89.439063177678179</v>
      </c>
      <c r="P45" s="491">
        <f t="shared" ref="P45:P53" ca="1" si="19">IF(M45&gt;0,N45*100/M45,0)</f>
        <v>63.545786040778594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345850</v>
      </c>
      <c r="M47" s="497">
        <f t="shared" ca="1" si="23"/>
        <v>486775</v>
      </c>
      <c r="N47" s="497">
        <f t="shared" ca="1" si="23"/>
        <v>309325</v>
      </c>
      <c r="O47" s="497">
        <f t="shared" ca="1" si="18"/>
        <v>89.439063177678179</v>
      </c>
      <c r="P47" s="497">
        <f t="shared" ca="1" si="19"/>
        <v>63.545786040778594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345850</v>
      </c>
      <c r="M48" s="230">
        <f t="shared" ca="1" si="25"/>
        <v>486775</v>
      </c>
      <c r="N48" s="230">
        <f t="shared" ca="1" si="25"/>
        <v>309325</v>
      </c>
      <c r="O48" s="230">
        <f t="shared" ca="1" si="18"/>
        <v>89.439063177678179</v>
      </c>
      <c r="P48" s="230">
        <f t="shared" ca="1" si="19"/>
        <v>63.545786040778594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IFERROR(__xludf.DUMMYFUNCTION("IMPORTRANGE(""https://docs.google.com/spreadsheets/d/1-uDff_7J0KD5mKrp0Vvzr7lt3OU09vwQwhkpOPPYv2Y/edit?usp=sharing"",""งบพรบ!P23"")"),345850)</f>
        <v>345850</v>
      </c>
      <c r="M50" s="230">
        <f ca="1">IFERROR(__xludf.DUMMYFUNCTION("IMPORTRANGE(""https://docs.google.com/spreadsheets/d/1-uDff_7J0KD5mKrp0Vvzr7lt3OU09vwQwhkpOPPYv2Y/edit?usp=sharing"",""งบพรบ!V23"")"),486775)</f>
        <v>486775</v>
      </c>
      <c r="N50" s="230">
        <f ca="1">IFERROR(__xludf.DUMMYFUNCTION("IMPORTRANGE(""https://docs.google.com/spreadsheets/d/1-uDff_7J0KD5mKrp0Vvzr7lt3OU09vwQwhkpOPPYv2Y/edit?usp=sharing"",""งบพรบ!Y23"")"),309325)</f>
        <v>309325</v>
      </c>
      <c r="O50" s="230">
        <f t="shared" ca="1" si="18"/>
        <v>89.439063177678179</v>
      </c>
      <c r="P50" s="230">
        <f t="shared" ca="1" si="19"/>
        <v>63.545786040778594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IFERROR(__xludf.DUMMYFUNCTION("IMPORTRANGE(""https://docs.google.com/spreadsheets/d/1-uDff_7J0KD5mKrp0Vvzr7lt3OU09vwQwhkpOPPYv2Y/edit?usp=sharing"",""งบพรบ!S23"")"),0)</f>
        <v>0</v>
      </c>
      <c r="M53" s="230">
        <f ca="1">IFERROR(__xludf.DUMMYFUNCTION("IMPORTRANGE(""https://docs.google.com/spreadsheets/d/1-uDff_7J0KD5mKrp0Vvzr7lt3OU09vwQwhkpOPPYv2Y/edit?usp=sharing"",""งบพรบ!W23"")"),0)</f>
        <v>0</v>
      </c>
      <c r="N53" s="230">
        <f ca="1">IFERROR(__xludf.DUMMYFUNCTION("IMPORTRANGE(""https://docs.google.com/spreadsheets/d/1-uDff_7J0KD5mKrp0Vvzr7lt3OU09vwQwhkpOPPYv2Y/edit?usp=sharing"",""งบพรบ!Z23"")"),0)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549000</v>
      </c>
      <c r="M60" s="502">
        <f t="shared" ca="1" si="29"/>
        <v>549000</v>
      </c>
      <c r="N60" s="502">
        <f t="shared" ca="1" si="29"/>
        <v>362603</v>
      </c>
      <c r="O60" s="502">
        <f t="shared" ref="O60:O68" ca="1" si="30">IF(L60&gt;0,N60*100/L60,0)</f>
        <v>66.047905282331513</v>
      </c>
      <c r="P60" s="502">
        <f t="shared" ref="P60:P68" ca="1" si="31">IF(M60&gt;0,N60*100/M60,0)</f>
        <v>66.047905282331513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549000</v>
      </c>
      <c r="M62" s="508">
        <f t="shared" ca="1" si="35"/>
        <v>549000</v>
      </c>
      <c r="N62" s="508">
        <f t="shared" ca="1" si="35"/>
        <v>362603</v>
      </c>
      <c r="O62" s="508">
        <f t="shared" ca="1" si="30"/>
        <v>66.047905282331513</v>
      </c>
      <c r="P62" s="508">
        <f t="shared" ca="1" si="31"/>
        <v>66.047905282331513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549000</v>
      </c>
      <c r="M63" s="230">
        <f t="shared" ca="1" si="37"/>
        <v>549000</v>
      </c>
      <c r="N63" s="230">
        <f t="shared" ca="1" si="37"/>
        <v>362603</v>
      </c>
      <c r="O63" s="230">
        <f t="shared" ca="1" si="30"/>
        <v>66.047905282331513</v>
      </c>
      <c r="P63" s="230">
        <f t="shared" ca="1" si="31"/>
        <v>66.047905282331513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IFERROR(__xludf.DUMMYFUNCTION("IMPORTRANGE(""https://docs.google.com/spreadsheets/d/1-uDff_7J0KD5mKrp0Vvzr7lt3OU09vwQwhkpOPPYv2Y/edit?usp=sharing"",""งบพรบ!AC23"")"),549000)</f>
        <v>549000</v>
      </c>
      <c r="M65" s="230">
        <f ca="1">IFERROR(__xludf.DUMMYFUNCTION("IMPORTRANGE(""https://docs.google.com/spreadsheets/d/1-uDff_7J0KD5mKrp0Vvzr7lt3OU09vwQwhkpOPPYv2Y/edit?usp=sharing"",""งบพรบ!AH23"")"),549000)</f>
        <v>549000</v>
      </c>
      <c r="N65" s="230">
        <f ca="1">IFERROR(__xludf.DUMMYFUNCTION("IMPORTRANGE(""https://docs.google.com/spreadsheets/d/1-uDff_7J0KD5mKrp0Vvzr7lt3OU09vwQwhkpOPPYv2Y/edit?usp=sharing"",""งบพรบ!AJ23"")"),362603)</f>
        <v>362603</v>
      </c>
      <c r="O65" s="230">
        <f t="shared" ca="1" si="30"/>
        <v>66.047905282331513</v>
      </c>
      <c r="P65" s="230">
        <f t="shared" ca="1" si="31"/>
        <v>66.047905282331513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IFERROR(__xludf.DUMMYFUNCTION("IMPORTRANGE(""https://docs.google.com/spreadsheets/d/1-uDff_7J0KD5mKrp0Vvzr7lt3OU09vwQwhkpOPPYv2Y/edit?usp=sharing"",""งบพรบ!AF23"")"),0)</f>
        <v>0</v>
      </c>
      <c r="M68" s="461">
        <f ca="1">IFERROR(__xludf.DUMMYFUNCTION("IMPORTRANGE(""https://docs.google.com/spreadsheets/d/1-uDff_7J0KD5mKrp0Vvzr7lt3OU09vwQwhkpOPPYv2Y/edit?usp=sharing"",""งบพรบ!AI23"")"),0)</f>
        <v>0</v>
      </c>
      <c r="N68" s="461">
        <f ca="1">IFERROR(__xludf.DUMMYFUNCTION("IMPORTRANGE(""https://docs.google.com/spreadsheets/d/1-uDff_7J0KD5mKrp0Vvzr7lt3OU09vwQwhkpOPPYv2Y/edit?usp=sharing"",""งบพรบ!AK23"")"),0)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33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90000</v>
      </c>
      <c r="M73" s="515">
        <f t="shared" ca="1" si="43"/>
        <v>90000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422960</v>
      </c>
      <c r="R73" s="515">
        <f t="shared" ca="1" si="46"/>
        <v>422960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90000</v>
      </c>
      <c r="M75" s="230">
        <f t="shared" ca="1" si="49"/>
        <v>90000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422960</v>
      </c>
      <c r="R75" s="230">
        <f t="shared" ca="1" si="50"/>
        <v>422960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90000</v>
      </c>
      <c r="M76" s="230">
        <f t="shared" ca="1" si="51"/>
        <v>90000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422960</v>
      </c>
      <c r="R76" s="230">
        <f t="shared" ca="1" si="52"/>
        <v>422960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IFERROR(__xludf.DUMMYFUNCTION("IMPORTRANGE(""https://docs.google.com/spreadsheets/d/1-uDff_7J0KD5mKrp0Vvzr7lt3OU09vwQwhkpOPPYv2Y/edit?usp=sharing"",""งบพรบ!AM23"")"),90000)</f>
        <v>90000</v>
      </c>
      <c r="M78" s="230">
        <f ca="1">IFERROR(__xludf.DUMMYFUNCTION("IMPORTRANGE(""https://docs.google.com/spreadsheets/d/1-uDff_7J0KD5mKrp0Vvzr7lt3OU09vwQwhkpOPPYv2Y/edit?usp=sharing"",""งบพรบ!AR23"")"),90000)</f>
        <v>90000</v>
      </c>
      <c r="N78" s="230">
        <f ca="1">IFERROR(__xludf.DUMMYFUNCTION("IMPORTRANGE(""https://docs.google.com/spreadsheets/d/1-uDff_7J0KD5mKrp0Vvzr7lt3OU09vwQwhkpOPPYv2Y/edit?usp=sharing"",""งบพรบ!AT23"")"),0)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IFERROR(__xludf.DUMMYFUNCTION("IMPORTRANGE(""https://docs.google.com/spreadsheets/d/1ItG2mGa2ceCfYo0BwxsXqNm01IGEUdYcSSLTEv9YCik/edit?usp=sharing"",""เบิกจ่ายกองทุน!AS23"")"),422960)</f>
        <v>422960</v>
      </c>
      <c r="R78" s="230">
        <f ca="1">IFERROR(__xludf.DUMMYFUNCTION("IMPORTRANGE(""https://docs.google.com/spreadsheets/d/1ItG2mGa2ceCfYo0BwxsXqNm01IGEUdYcSSLTEv9YCik/edit?usp=sharing"",""เบิกจ่ายกองทุน!AT23"")"),422960)</f>
        <v>422960</v>
      </c>
      <c r="S78" s="230">
        <f ca="1">IFERROR(__xludf.DUMMYFUNCTION("IMPORTRANGE(""https://docs.google.com/spreadsheets/d/1ItG2mGa2ceCfYo0BwxsXqNm01IGEUdYcSSLTEv9YCik/edit?usp=sharing"",""เบิกจ่ายกองทุน!AU23"")"),0)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IFERROR(__xludf.DUMMYFUNCTION("IMPORTRANGE(""https://docs.google.com/spreadsheets/d/1-uDff_7J0KD5mKrp0Vvzr7lt3OU09vwQwhkpOPPYv2Y/edit?usp=sharing"",""งบพรบ!AP23"")"),0)</f>
        <v>0</v>
      </c>
      <c r="M81" s="230">
        <f ca="1">IFERROR(__xludf.DUMMYFUNCTION("IMPORTRANGE(""https://docs.google.com/spreadsheets/d/1-uDff_7J0KD5mKrp0Vvzr7lt3OU09vwQwhkpOPPYv2Y/edit?usp=sharing"",""งบพรบ!AS23"")"),0)</f>
        <v>0</v>
      </c>
      <c r="N81" s="230">
        <f ca="1">IFERROR(__xludf.DUMMYFUNCTION("IMPORTRANGE(""https://docs.google.com/spreadsheets/d/1-uDff_7J0KD5mKrp0Vvzr7lt3OU09vwQwhkpOPPYv2Y/edit?usp=sharing"",""งบพรบ!AU23"")"),0)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33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IFERROR(__xludf.DUMMYFUNCTION("IMPORTRANGE(""https://docs.google.com/spreadsheets/d/1eHaY18a8A9IcSdp1K8H6x8fbOy06t2VsZHhMHf-1x7Y/edit?usp=sharing"",""แผน!H23"")"),1)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IFERROR(__xludf.DUMMYFUNCTION("IMPORTRANGE(""https://docs.google.com/spreadsheets/d/1eHaY18a8A9IcSdp1K8H6x8fbOy06t2VsZHhMHf-1x7Y/edit?usp=sharing"",""แผน!I23"")"),33)</f>
        <v>33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IFERROR(__xludf.DUMMYFUNCTION("IMPORTRANGE(""https://docs.google.com/spreadsheets/d/1eHaY18a8A9IcSdp1K8H6x8fbOy06t2VsZHhMHf-1x7Y/edit?usp=sharing"",""แผน!F23"")"),0)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IFERROR(__xludf.DUMMYFUNCTION("IMPORTRANGE(""https://docs.google.com/spreadsheets/d/1eHaY18a8A9IcSdp1K8H6x8fbOy06t2VsZHhMHf-1x7Y/edit?usp=sharing"",""แผน!G23"")"),0)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IFERROR(__xludf.DUMMYFUNCTION("IMPORTRANGE(""https://docs.google.com/spreadsheets/d/1eHaY18a8A9IcSdp1K8H6x8fbOy06t2VsZHhMHf-1x7Y/edit?usp=sharing"",""แผน!D23"")"),0)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IFERROR(__xludf.DUMMYFUNCTION("IMPORTRANGE(""https://docs.google.com/spreadsheets/d/1eHaY18a8A9IcSdp1K8H6x8fbOy06t2VsZHhMHf-1x7Y/edit?usp=sharing"",""แผน!E23"")"),0)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IFERROR(__xludf.DUMMYFUNCTION("IMPORTRANGE(""https://docs.google.com/spreadsheets/d/1eHaY18a8A9IcSdp1K8H6x8fbOy06t2VsZHhMHf-1x7Y/edit?usp=sharing"",""แผน!J23"")"),1)</f>
        <v>1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60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20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39000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129840</v>
      </c>
      <c r="R95" s="515">
        <f t="shared" ca="1" si="62"/>
        <v>129840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39000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129840</v>
      </c>
      <c r="R97" s="230">
        <f t="shared" ca="1" si="66"/>
        <v>129840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39000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129840</v>
      </c>
      <c r="R98" s="230">
        <f t="shared" ca="1" si="68"/>
        <v>129840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IFERROR(__xludf.DUMMYFUNCTION("IMPORTRANGE(""https://docs.google.com/spreadsheets/d/1-uDff_7J0KD5mKrp0Vvzr7lt3OU09vwQwhkpOPPYv2Y/edit?usp=sharing"",""งบพรบ!AW23"")"),0)</f>
        <v>0</v>
      </c>
      <c r="M100" s="230">
        <f ca="1">IFERROR(__xludf.DUMMYFUNCTION("IMPORTRANGE(""https://docs.google.com/spreadsheets/d/1-uDff_7J0KD5mKrp0Vvzr7lt3OU09vwQwhkpOPPYv2Y/edit?usp=sharing"",""งบพรบ!BB23"")"),39000)</f>
        <v>39000</v>
      </c>
      <c r="N100" s="230">
        <f ca="1">IFERROR(__xludf.DUMMYFUNCTION("IMPORTRANGE(""https://docs.google.com/spreadsheets/d/1-uDff_7J0KD5mKrp0Vvzr7lt3OU09vwQwhkpOPPYv2Y/edit?usp=sharing"",""งบพรบ!BD23"")"),0)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IFERROR(__xludf.DUMMYFUNCTION("IMPORTRANGE(""https://docs.google.com/spreadsheets/d/1ItG2mGa2ceCfYo0BwxsXqNm01IGEUdYcSSLTEv9YCik/edit?usp=sharing"",""เบิกจ่ายกองทุน!AD23"")"),129840)</f>
        <v>129840</v>
      </c>
      <c r="R100" s="230">
        <f ca="1">IFERROR(__xludf.DUMMYFUNCTION("IMPORTRANGE(""https://docs.google.com/spreadsheets/d/1ItG2mGa2ceCfYo0BwxsXqNm01IGEUdYcSSLTEv9YCik/edit?usp=sharing"",""เบิกจ่ายกองทุน!AE23"")"),129840)</f>
        <v>129840</v>
      </c>
      <c r="S100" s="230">
        <f ca="1">IFERROR(__xludf.DUMMYFUNCTION("IMPORTRANGE(""https://docs.google.com/spreadsheets/d/1ItG2mGa2ceCfYo0BwxsXqNm01IGEUdYcSSLTEv9YCik/edit?usp=sharing"",""เบิกจ่ายกองทุน!AF23"")"),0)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IFERROR(__xludf.DUMMYFUNCTION("IMPORTRANGE(""https://docs.google.com/spreadsheets/d/1-uDff_7J0KD5mKrp0Vvzr7lt3OU09vwQwhkpOPPYv2Y/edit?usp=sharing"",""งบพรบ!AZ23"")"),0)</f>
        <v>0</v>
      </c>
      <c r="M103" s="230">
        <f ca="1">IFERROR(__xludf.DUMMYFUNCTION("IMPORTRANGE(""https://docs.google.com/spreadsheets/d/1-uDff_7J0KD5mKrp0Vvzr7lt3OU09vwQwhkpOPPYv2Y/edit?usp=sharing"",""งบพรบ!BC23"")"),0)</f>
        <v>0</v>
      </c>
      <c r="N103" s="230">
        <f ca="1">IFERROR(__xludf.DUMMYFUNCTION("IMPORTRANGE(""https://docs.google.com/spreadsheets/d/1-uDff_7J0KD5mKrp0Vvzr7lt3OU09vwQwhkpOPPYv2Y/edit?usp=sharing"",""งบพรบ!BE23"")"),0)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IFERROR(__xludf.DUMMYFUNCTION("IMPORTRANGE(""https://docs.google.com/spreadsheets/d/1eHaY18a8A9IcSdp1K8H6x8fbOy06t2VsZHhMHf-1x7Y/edit?usp=sharing"",""แผน!N23"")"),60)</f>
        <v>60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IFERROR(__xludf.DUMMYFUNCTION("IMPORTRANGE(""https://docs.google.com/spreadsheets/d/1eHaY18a8A9IcSdp1K8H6x8fbOy06t2VsZHhMHf-1x7Y/edit?usp=sharing"",""แผน!O23"")"),20)</f>
        <v>20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IFERROR(__xludf.DUMMYFUNCTION("IMPORTRANGE(""https://docs.google.com/spreadsheets/d/1eHaY18a8A9IcSdp1K8H6x8fbOy06t2VsZHhMHf-1x7Y/edit?usp=sharing"",""แผน!S23"")"),0)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IFERROR(__xludf.DUMMYFUNCTION("IMPORTRANGE(""https://docs.google.com/spreadsheets/d/1eHaY18a8A9IcSdp1K8H6x8fbOy06t2VsZHhMHf-1x7Y/edit?usp=sharing"",""แผน!R23"")"),20)</f>
        <v>20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20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209360</v>
      </c>
      <c r="R118" s="515">
        <f t="shared" ca="1" si="77"/>
        <v>209360</v>
      </c>
      <c r="S118" s="515">
        <f t="shared" ca="1" si="77"/>
        <v>26740</v>
      </c>
      <c r="T118" s="515">
        <f t="shared" ref="T118:T126" ca="1" si="78">IF(Q118&gt;0,S118*100/Q118,0)</f>
        <v>12.77225831104318</v>
      </c>
      <c r="U118" s="515">
        <f t="shared" ref="U118:U126" ca="1" si="79">IF(R118&gt;0,S118*100/R118,0)</f>
        <v>12.77225831104318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209360</v>
      </c>
      <c r="R120" s="230">
        <f t="shared" ca="1" si="81"/>
        <v>209360</v>
      </c>
      <c r="S120" s="230">
        <f t="shared" ca="1" si="81"/>
        <v>26740</v>
      </c>
      <c r="T120" s="230">
        <f t="shared" ca="1" si="78"/>
        <v>12.77225831104318</v>
      </c>
      <c r="U120" s="230">
        <f t="shared" ca="1" si="79"/>
        <v>12.77225831104318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209360</v>
      </c>
      <c r="R121" s="230">
        <f t="shared" ca="1" si="83"/>
        <v>209360</v>
      </c>
      <c r="S121" s="230">
        <f t="shared" ca="1" si="83"/>
        <v>26740</v>
      </c>
      <c r="T121" s="230">
        <f t="shared" ca="1" si="78"/>
        <v>12.77225831104318</v>
      </c>
      <c r="U121" s="230">
        <f t="shared" ca="1" si="79"/>
        <v>12.77225831104318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IFERROR(__xludf.DUMMYFUNCTION("IMPORTRANGE(""https://docs.google.com/spreadsheets/d/1-uDff_7J0KD5mKrp0Vvzr7lt3OU09vwQwhkpOPPYv2Y/edit?usp=sharing"",""งบพรบ!BG23"")"),0)</f>
        <v>0</v>
      </c>
      <c r="M123" s="230">
        <f ca="1">IFERROR(__xludf.DUMMYFUNCTION("IMPORTRANGE(""https://docs.google.com/spreadsheets/d/1-uDff_7J0KD5mKrp0Vvzr7lt3OU09vwQwhkpOPPYv2Y/edit?usp=sharing"",""งบพรบ!BL23"")"),0)</f>
        <v>0</v>
      </c>
      <c r="N123" s="230">
        <f ca="1">IFERROR(__xludf.DUMMYFUNCTION("IMPORTRANGE(""https://docs.google.com/spreadsheets/d/1-uDff_7J0KD5mKrp0Vvzr7lt3OU09vwQwhkpOPPYv2Y/edit?usp=sharing"",""งบพรบ!BN23"")"),0)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IFERROR(__xludf.DUMMYFUNCTION("IMPORTRANGE(""https://docs.google.com/spreadsheets/d/1ItG2mGa2ceCfYo0BwxsXqNm01IGEUdYcSSLTEv9YCik/edit?usp=sharing"",""เบิกจ่ายกองทุน!R23"")"),209360)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IFERROR(__xludf.DUMMYFUNCTION("IMPORTRANGE(""https://docs.google.com/spreadsheets/d/1ItG2mGa2ceCfYo0BwxsXqNm01IGEUdYcSSLTEv9YCik/edit?usp=sharing"",""เบิกจ่ายกองทุน!S23"")"),209360)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IFERROR(__xludf.DUMMYFUNCTION("IMPORTRANGE(""https://docs.google.com/spreadsheets/d/1ItG2mGa2ceCfYo0BwxsXqNm01IGEUdYcSSLTEv9YCik/edit?usp=sharing"",""เบิกจ่ายกองทุน!T23"")"),26740)</f>
        <v>26740</v>
      </c>
      <c r="T123" s="230">
        <f t="shared" ca="1" si="78"/>
        <v>12.77225831104318</v>
      </c>
      <c r="U123" s="230">
        <f t="shared" ca="1" si="79"/>
        <v>12.77225831104318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IFERROR(__xludf.DUMMYFUNCTION("IMPORTRANGE(""https://docs.google.com/spreadsheets/d/1-uDff_7J0KD5mKrp0Vvzr7lt3OU09vwQwhkpOPPYv2Y/edit?usp=sharing"",""งบพรบ!BJ23"")"),0)</f>
        <v>0</v>
      </c>
      <c r="M126" s="230">
        <f ca="1">IFERROR(__xludf.DUMMYFUNCTION("IMPORTRANGE(""https://docs.google.com/spreadsheets/d/1-uDff_7J0KD5mKrp0Vvzr7lt3OU09vwQwhkpOPPYv2Y/edit?usp=sharing"",""งบพรบ!BM23"")"),0)</f>
        <v>0</v>
      </c>
      <c r="N126" s="230">
        <f ca="1">IFERROR(__xludf.DUMMYFUNCTION("IMPORTRANGE(""https://docs.google.com/spreadsheets/d/1-uDff_7J0KD5mKrp0Vvzr7lt3OU09vwQwhkpOPPYv2Y/edit?usp=sharing"",""งบพรบ!BO23"")"),0)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IFERROR(__xludf.DUMMYFUNCTION("IMPORTRANGE(""https://docs.google.com/spreadsheets/d/1eHaY18a8A9IcSdp1K8H6x8fbOy06t2VsZHhMHf-1x7Y/edit?usp=sharing"",""แผน!FF23"")"),20)</f>
        <v>20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IFERROR(__xludf.DUMMYFUNCTION("IMPORTRANGE(""https://docs.google.com/spreadsheets/d/1eHaY18a8A9IcSdp1K8H6x8fbOy06t2VsZHhMHf-1x7Y/edit?usp=sharing"",""แผน!FG23"")"),0)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IFERROR(__xludf.DUMMYFUNCTION("IMPORTRANGE(""https://docs.google.com/spreadsheets/d/1eHaY18a8A9IcSdp1K8H6x8fbOy06t2VsZHhMHf-1x7Y/edit?usp=sharing"",""แผน!FH23"")"),20)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IFERROR(__xludf.DUMMYFUNCTION("IMPORTRANGE(""https://docs.google.com/spreadsheets/d/1eHaY18a8A9IcSdp1K8H6x8fbOy06t2VsZHhMHf-1x7Y/edit?usp=sharing"",""แผน!FI23"")"),0)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10</v>
      </c>
      <c r="J138" s="511">
        <f t="shared" si="89"/>
        <v>10</v>
      </c>
      <c r="K138" s="474">
        <f t="shared" ca="1" si="88"/>
        <v>100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1</v>
      </c>
      <c r="J139" s="511">
        <f t="shared" si="89"/>
        <v>1</v>
      </c>
      <c r="K139" s="474">
        <f t="shared" ca="1" si="88"/>
        <v>100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23300</v>
      </c>
      <c r="M140" s="515">
        <f t="shared" ca="1" si="90"/>
        <v>18300</v>
      </c>
      <c r="N140" s="515">
        <f t="shared" ca="1" si="90"/>
        <v>17920</v>
      </c>
      <c r="O140" s="515">
        <f t="shared" ref="O140:O148" ca="1" si="91">IF(L140&gt;0,N140*100/L140,0)</f>
        <v>76.909871244635198</v>
      </c>
      <c r="P140" s="515">
        <f t="shared" ref="P140:P148" ca="1" si="92">IF(M140&gt;0,N140*100/M140,0)</f>
        <v>97.923497267759558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23300</v>
      </c>
      <c r="M142" s="230">
        <f t="shared" ca="1" si="96"/>
        <v>18300</v>
      </c>
      <c r="N142" s="230">
        <f t="shared" ca="1" si="96"/>
        <v>17920</v>
      </c>
      <c r="O142" s="230">
        <f t="shared" ca="1" si="91"/>
        <v>76.909871244635198</v>
      </c>
      <c r="P142" s="230">
        <f t="shared" ca="1" si="92"/>
        <v>97.923497267759558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23300</v>
      </c>
      <c r="M143" s="230">
        <f t="shared" ca="1" si="98"/>
        <v>18300</v>
      </c>
      <c r="N143" s="230">
        <f t="shared" ca="1" si="98"/>
        <v>17920</v>
      </c>
      <c r="O143" s="230">
        <f t="shared" ca="1" si="91"/>
        <v>76.909871244635198</v>
      </c>
      <c r="P143" s="230">
        <f t="shared" ca="1" si="92"/>
        <v>97.923497267759558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IFERROR(__xludf.DUMMYFUNCTION("IMPORTRANGE(""https://docs.google.com/spreadsheets/d/1-uDff_7J0KD5mKrp0Vvzr7lt3OU09vwQwhkpOPPYv2Y/edit?usp=sharing"",""งบพรบ!BQ23"")"),23300)</f>
        <v>23300</v>
      </c>
      <c r="M145" s="230">
        <f ca="1">IFERROR(__xludf.DUMMYFUNCTION("IMPORTRANGE(""https://docs.google.com/spreadsheets/d/1-uDff_7J0KD5mKrp0Vvzr7lt3OU09vwQwhkpOPPYv2Y/edit?usp=sharing"",""งบพรบ!BV23"")"),18300)</f>
        <v>18300</v>
      </c>
      <c r="N145" s="230">
        <f ca="1">IFERROR(__xludf.DUMMYFUNCTION("IMPORTRANGE(""https://docs.google.com/spreadsheets/d/1-uDff_7J0KD5mKrp0Vvzr7lt3OU09vwQwhkpOPPYv2Y/edit?usp=sharing"",""งบพรบ!BX23"")"),17920)</f>
        <v>17920</v>
      </c>
      <c r="O145" s="230">
        <f t="shared" ca="1" si="91"/>
        <v>76.909871244635198</v>
      </c>
      <c r="P145" s="230">
        <f t="shared" ca="1" si="92"/>
        <v>97.923497267759558</v>
      </c>
      <c r="Q145" s="230">
        <f ca="1">IFERROR(__xludf.DUMMYFUNCTION("IMPORTRANGE(""https://docs.google.com/spreadsheets/d/1ItG2mGa2ceCfYo0BwxsXqNm01IGEUdYcSSLTEv9YCik/edit?usp=sharing"",""เบิกจ่ายกองทุน!BB23"")"),0)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IFERROR(__xludf.DUMMYFUNCTION("IMPORTRANGE(""https://docs.google.com/spreadsheets/d/1ItG2mGa2ceCfYo0BwxsXqNm01IGEUdYcSSLTEv9YCik/edit?usp=sharing"",""เบิกจ่ายกองทุน!BC23"")"),0)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IFERROR(__xludf.DUMMYFUNCTION("IMPORTRANGE(""https://docs.google.com/spreadsheets/d/1ItG2mGa2ceCfYo0BwxsXqNm01IGEUdYcSSLTEv9YCik/edit?usp=sharing"",""เบิกจ่ายกองทุน!BD23"")"),0)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IFERROR(__xludf.DUMMYFUNCTION("IMPORTRANGE(""https://docs.google.com/spreadsheets/d/1-uDff_7J0KD5mKrp0Vvzr7lt3OU09vwQwhkpOPPYv2Y/edit?usp=sharing"",""งบพรบ!BT23"")"),0)</f>
        <v>0</v>
      </c>
      <c r="M148" s="230">
        <f ca="1">IFERROR(__xludf.DUMMYFUNCTION("IMPORTRANGE(""https://docs.google.com/spreadsheets/d/1-uDff_7J0KD5mKrp0Vvzr7lt3OU09vwQwhkpOPPYv2Y/edit?usp=sharing"",""งบพรบ!BW23"")"),0)</f>
        <v>0</v>
      </c>
      <c r="N148" s="230">
        <f ca="1">IFERROR(__xludf.DUMMYFUNCTION("IMPORTRANGE(""https://docs.google.com/spreadsheets/d/1-uDff_7J0KD5mKrp0Vvzr7lt3OU09vwQwhkpOPPYv2Y/edit?usp=sharing"",""งบพรบ!BY23"")"),0)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IFERROR(__xludf.DUMMYFUNCTION("IMPORTRANGE(""https://docs.google.com/spreadsheets/d/1eHaY18a8A9IcSdp1K8H6x8fbOy06t2VsZHhMHf-1x7Y/edit?usp=sharing"",""แผน!U23"")"),0)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IFERROR(__xludf.DUMMYFUNCTION("IMPORTRANGE(""https://docs.google.com/spreadsheets/d/1eHaY18a8A9IcSdp1K8H6x8fbOy06t2VsZHhMHf-1x7Y/edit?usp=sharing"",""แผน!V23"")"),0)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IFERROR(__xludf.DUMMYFUNCTION("IMPORTRANGE(""https://docs.google.com/spreadsheets/d/1eHaY18a8A9IcSdp1K8H6x8fbOy06t2VsZHhMHf-1x7Y/edit?usp=sharing"",""แผน!W23"")"),10)</f>
        <v>10</v>
      </c>
      <c r="J153" s="520">
        <v>10</v>
      </c>
      <c r="K153" s="230">
        <f t="shared" ca="1" si="102"/>
        <v>100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IFERROR(__xludf.DUMMYFUNCTION("IMPORTRANGE(""https://docs.google.com/spreadsheets/d/1eHaY18a8A9IcSdp1K8H6x8fbOy06t2VsZHhMHf-1x7Y/edit?usp=sharing"",""แผน!X23"")"),1)</f>
        <v>1</v>
      </c>
      <c r="J154" s="520">
        <v>1</v>
      </c>
      <c r="K154" s="230">
        <f t="shared" ca="1" si="102"/>
        <v>100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IFERROR(__xludf.DUMMYFUNCTION("IMPORTRANGE(""https://docs.google.com/spreadsheets/d/1eHaY18a8A9IcSdp1K8H6x8fbOy06t2VsZHhMHf-1x7Y/edit?usp=sharing"",""แผน!Y23"")"),0)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I168</f>
        <v>20</v>
      </c>
      <c r="J157" s="511">
        <f t="shared" si="103"/>
        <v>20</v>
      </c>
      <c r="K157" s="474">
        <f ca="1">IF(I157&gt;0,J157*100/I157,0)</f>
        <v>100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6000</v>
      </c>
      <c r="M158" s="515">
        <f t="shared" ca="1" si="104"/>
        <v>4500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6000</v>
      </c>
      <c r="M160" s="230">
        <f t="shared" ca="1" si="110"/>
        <v>4500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6000</v>
      </c>
      <c r="M161" s="230">
        <f t="shared" ca="1" si="112"/>
        <v>4500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IFERROR(__xludf.DUMMYFUNCTION("IMPORTRANGE(""https://docs.google.com/spreadsheets/d/1-uDff_7J0KD5mKrp0Vvzr7lt3OU09vwQwhkpOPPYv2Y/edit?usp=sharing"",""งบพรบ!CA23"")"),6000)</f>
        <v>6000</v>
      </c>
      <c r="M163" s="230">
        <f ca="1">IFERROR(__xludf.DUMMYFUNCTION("IMPORTRANGE(""https://docs.google.com/spreadsheets/d/1-uDff_7J0KD5mKrp0Vvzr7lt3OU09vwQwhkpOPPYv2Y/edit?usp=sharing"",""งบพรบ!CF23"")"),4500)</f>
        <v>4500</v>
      </c>
      <c r="N163" s="230">
        <f ca="1">IFERROR(__xludf.DUMMYFUNCTION("IMPORTRANGE(""https://docs.google.com/spreadsheets/d/1-uDff_7J0KD5mKrp0Vvzr7lt3OU09vwQwhkpOPPYv2Y/edit?usp=sharing"",""งบพรบ!CH23"")"),0)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IFERROR(__xludf.DUMMYFUNCTION("IMPORTRANGE(""https://docs.google.com/spreadsheets/d/1ItG2mGa2ceCfYo0BwxsXqNm01IGEUdYcSSLTEv9YCik/edit?usp=sharing"",""เบิกจ่ายกองทุน!AG23"")"),0)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IFERROR(__xludf.DUMMYFUNCTION("IMPORTRANGE(""https://docs.google.com/spreadsheets/d/1ItG2mGa2ceCfYo0BwxsXqNm01IGEUdYcSSLTEv9YCik/edit?usp=sharing"",""เบิกจ่ายกองทุน!AH23"")"),0)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IFERROR(__xludf.DUMMYFUNCTION("IMPORTRANGE(""https://docs.google.com/spreadsheets/d/1ItG2mGa2ceCfYo0BwxsXqNm01IGEUdYcSSLTEv9YCik/edit?usp=sharing"",""เบิกจ่ายกองทุน!AI23"")"),0)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IFERROR(__xludf.DUMMYFUNCTION("IMPORTRANGE(""https://docs.google.com/spreadsheets/d/1-uDff_7J0KD5mKrp0Vvzr7lt3OU09vwQwhkpOPPYv2Y/edit?usp=sharing"",""งบพรบ!CD23"")"),0)</f>
        <v>0</v>
      </c>
      <c r="M166" s="230">
        <f ca="1">IFERROR(__xludf.DUMMYFUNCTION("IMPORTRANGE(""https://docs.google.com/spreadsheets/d/1-uDff_7J0KD5mKrp0Vvzr7lt3OU09vwQwhkpOPPYv2Y/edit?usp=sharing"",""งบพรบ!CG23"")"),0)</f>
        <v>0</v>
      </c>
      <c r="N166" s="230">
        <f ca="1">IFERROR(__xludf.DUMMYFUNCTION("IMPORTRANGE(""https://docs.google.com/spreadsheets/d/1-uDff_7J0KD5mKrp0Vvzr7lt3OU09vwQwhkpOPPYv2Y/edit?usp=sharing"",""งบพรบ!CI23"")"),0)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IFERROR(__xludf.DUMMYFUNCTION("IMPORTRANGE(""https://docs.google.com/spreadsheets/d/1eHaY18a8A9IcSdp1K8H6x8fbOy06t2VsZHhMHf-1x7Y/edit?usp=sharing"",""แผน!Z23"")"),20)</f>
        <v>20</v>
      </c>
      <c r="J168" s="520">
        <v>20</v>
      </c>
      <c r="K168" s="230">
        <f t="shared" ref="K168:K170" ca="1" si="116">IF(I168&gt;0,J168*100/I168,0)</f>
        <v>100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20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20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126640</v>
      </c>
      <c r="N174" s="515">
        <f t="shared" ca="1" si="118"/>
        <v>107110</v>
      </c>
      <c r="O174" s="515">
        <f t="shared" ref="O174:O182" ca="1" si="119">IF(L174&gt;0,N174*100/L174,0)</f>
        <v>546.75855028075546</v>
      </c>
      <c r="P174" s="515">
        <f t="shared" ref="P174:P182" ca="1" si="120">IF(M174&gt;0,N174*100/M174,0)</f>
        <v>84.578332280480097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126640</v>
      </c>
      <c r="N176" s="230">
        <f t="shared" ca="1" si="124"/>
        <v>107110</v>
      </c>
      <c r="O176" s="230">
        <f t="shared" ca="1" si="119"/>
        <v>546.75855028075546</v>
      </c>
      <c r="P176" s="230">
        <f t="shared" ca="1" si="120"/>
        <v>84.578332280480097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126640</v>
      </c>
      <c r="N177" s="230">
        <f t="shared" ca="1" si="126"/>
        <v>107110</v>
      </c>
      <c r="O177" s="230">
        <f t="shared" ca="1" si="119"/>
        <v>546.75855028075546</v>
      </c>
      <c r="P177" s="230">
        <f t="shared" ca="1" si="120"/>
        <v>84.578332280480097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IFERROR(__xludf.DUMMYFUNCTION("IMPORTRANGE(""https://docs.google.com/spreadsheets/d/1-uDff_7J0KD5mKrp0Vvzr7lt3OU09vwQwhkpOPPYv2Y/edit?usp=sharing"",""งบพรบ!CK23"")"),19590)</f>
        <v>19590</v>
      </c>
      <c r="M179" s="230">
        <f ca="1">IFERROR(__xludf.DUMMYFUNCTION("IMPORTRANGE(""https://docs.google.com/spreadsheets/d/1-uDff_7J0KD5mKrp0Vvzr7lt3OU09vwQwhkpOPPYv2Y/edit?usp=sharing"",""งบพรบ!CP23"")"),126640)</f>
        <v>126640</v>
      </c>
      <c r="N179" s="230">
        <f ca="1">IFERROR(__xludf.DUMMYFUNCTION("IMPORTRANGE(""https://docs.google.com/spreadsheets/d/1-uDff_7J0KD5mKrp0Vvzr7lt3OU09vwQwhkpOPPYv2Y/edit?usp=sharing"",""งบพรบ!CR23"")"),107110)</f>
        <v>107110</v>
      </c>
      <c r="O179" s="230">
        <f t="shared" ca="1" si="119"/>
        <v>546.75855028075546</v>
      </c>
      <c r="P179" s="230">
        <f t="shared" ca="1" si="120"/>
        <v>84.578332280480097</v>
      </c>
      <c r="Q179" s="230">
        <f ca="1">IFERROR(__xludf.DUMMYFUNCTION("IMPORTRANGE(""https://docs.google.com/spreadsheets/d/1ItG2mGa2ceCfYo0BwxsXqNm01IGEUdYcSSLTEv9YCik/edit?usp=sharing"",""เบิกจ่ายกองทุน!BE23"")"),0)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IFERROR(__xludf.DUMMYFUNCTION("IMPORTRANGE(""https://docs.google.com/spreadsheets/d/1ItG2mGa2ceCfYo0BwxsXqNm01IGEUdYcSSLTEv9YCik/edit?usp=sharing"",""เบิกจ่ายกองทุน!BF23"")"),0)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IFERROR(__xludf.DUMMYFUNCTION("IMPORTRANGE(""https://docs.google.com/spreadsheets/d/1ItG2mGa2ceCfYo0BwxsXqNm01IGEUdYcSSLTEv9YCik/edit?usp=sharing"",""เบิกจ่ายกองทุน!BG23"")"),0)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IFERROR(__xludf.DUMMYFUNCTION("IMPORTRANGE(""https://docs.google.com/spreadsheets/d/1-uDff_7J0KD5mKrp0Vvzr7lt3OU09vwQwhkpOPPYv2Y/edit?usp=sharing"",""งบพรบ!CN23"")"),0)</f>
        <v>0</v>
      </c>
      <c r="M182" s="230">
        <f ca="1">IFERROR(__xludf.DUMMYFUNCTION("IMPORTRANGE(""https://docs.google.com/spreadsheets/d/1-uDff_7J0KD5mKrp0Vvzr7lt3OU09vwQwhkpOPPYv2Y/edit?usp=sharing"",""งบพรบ!CQ23"")"),0)</f>
        <v>0</v>
      </c>
      <c r="N182" s="230">
        <f ca="1">IFERROR(__xludf.DUMMYFUNCTION("IMPORTRANGE(""https://docs.google.com/spreadsheets/d/1-uDff_7J0KD5mKrp0Vvzr7lt3OU09vwQwhkpOPPYv2Y/edit?usp=sharing"",""งบพรบ!CS23"")"),0)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IFERROR(__xludf.DUMMYFUNCTION("IMPORTRANGE(""https://docs.google.com/spreadsheets/d/1eHaY18a8A9IcSdp1K8H6x8fbOy06t2VsZHhMHf-1x7Y/edit?usp=sharing"",""แผน!AA23"")"),7)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198500</v>
      </c>
      <c r="M187" s="515">
        <f t="shared" ca="1" si="132"/>
        <v>156200</v>
      </c>
      <c r="N187" s="515">
        <f t="shared" ca="1" si="132"/>
        <v>63080</v>
      </c>
      <c r="O187" s="515">
        <f t="shared" ref="O187:O195" ca="1" si="133">IF(L187&gt;0,N187*100/L187,0)</f>
        <v>31.778337531486144</v>
      </c>
      <c r="P187" s="515">
        <f t="shared" ref="P187:P195" ca="1" si="134">IF(M187&gt;0,N187*100/M187,0)</f>
        <v>40.384122919334189</v>
      </c>
      <c r="Q187" s="515">
        <f t="shared" ref="Q187:S187" ca="1" si="135">Q188+Q189</f>
        <v>127400</v>
      </c>
      <c r="R187" s="515">
        <f t="shared" ca="1" si="135"/>
        <v>127400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198500</v>
      </c>
      <c r="M189" s="230">
        <f t="shared" ca="1" si="138"/>
        <v>156200</v>
      </c>
      <c r="N189" s="230">
        <f t="shared" ca="1" si="138"/>
        <v>63080</v>
      </c>
      <c r="O189" s="230">
        <f t="shared" ca="1" si="133"/>
        <v>31.778337531486144</v>
      </c>
      <c r="P189" s="230">
        <f t="shared" ca="1" si="134"/>
        <v>40.384122919334189</v>
      </c>
      <c r="Q189" s="230">
        <f t="shared" ca="1" si="139"/>
        <v>127400</v>
      </c>
      <c r="R189" s="230">
        <f t="shared" ca="1" si="139"/>
        <v>127400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198500</v>
      </c>
      <c r="M190" s="230">
        <f t="shared" ca="1" si="140"/>
        <v>156200</v>
      </c>
      <c r="N190" s="230">
        <f t="shared" ca="1" si="140"/>
        <v>63080</v>
      </c>
      <c r="O190" s="230">
        <f t="shared" ca="1" si="133"/>
        <v>31.778337531486144</v>
      </c>
      <c r="P190" s="230">
        <f t="shared" ca="1" si="134"/>
        <v>40.384122919334189</v>
      </c>
      <c r="Q190" s="230">
        <f t="shared" ref="Q190:S190" ca="1" si="141">Q191+Q192</f>
        <v>127400</v>
      </c>
      <c r="R190" s="230">
        <f t="shared" ca="1" si="141"/>
        <v>127400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IFERROR(__xludf.DUMMYFUNCTION("IMPORTRANGE(""https://docs.google.com/spreadsheets/d/1-uDff_7J0KD5mKrp0Vvzr7lt3OU09vwQwhkpOPPYv2Y/edit?usp=sharing"",""งบพรบ!CU23"")"),198500)</f>
        <v>198500</v>
      </c>
      <c r="M192" s="230">
        <f ca="1">IFERROR(__xludf.DUMMYFUNCTION("IMPORTRANGE(""https://docs.google.com/spreadsheets/d/1-uDff_7J0KD5mKrp0Vvzr7lt3OU09vwQwhkpOPPYv2Y/edit?usp=sharing"",""งบพรบ!CZ23"")"),156200)</f>
        <v>156200</v>
      </c>
      <c r="N192" s="230">
        <f ca="1">IFERROR(__xludf.DUMMYFUNCTION("IMPORTRANGE(""https://docs.google.com/spreadsheets/d/1-uDff_7J0KD5mKrp0Vvzr7lt3OU09vwQwhkpOPPYv2Y/edit?usp=sharing"",""งบพรบ!DB23"")"),63080)</f>
        <v>63080</v>
      </c>
      <c r="O192" s="230">
        <f t="shared" ca="1" si="133"/>
        <v>31.778337531486144</v>
      </c>
      <c r="P192" s="230">
        <f t="shared" ca="1" si="134"/>
        <v>40.384122919334189</v>
      </c>
      <c r="Q192" s="230">
        <f ca="1">IFERROR(__xludf.DUMMYFUNCTION("IMPORTRANGE(""https://docs.google.com/spreadsheets/d/1ItG2mGa2ceCfYo0BwxsXqNm01IGEUdYcSSLTEv9YCik/edit?usp=sharing"",""เบิกจ่ายกองทุน!AV23"")"),127400)</f>
        <v>127400</v>
      </c>
      <c r="R192" s="230">
        <f ca="1">IFERROR(__xludf.DUMMYFUNCTION("IMPORTRANGE(""https://docs.google.com/spreadsheets/d/1ItG2mGa2ceCfYo0BwxsXqNm01IGEUdYcSSLTEv9YCik/edit?usp=sharing"",""เบิกจ่ายกองทุน!AW23"")"),127400)</f>
        <v>127400</v>
      </c>
      <c r="S192" s="230">
        <f ca="1">IFERROR(__xludf.DUMMYFUNCTION("IMPORTRANGE(""https://docs.google.com/spreadsheets/d/1ItG2mGa2ceCfYo0BwxsXqNm01IGEUdYcSSLTEv9YCik/edit?usp=sharing"",""เบิกจ่ายกองทุน!AX23"")"),0)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IFERROR(__xludf.DUMMYFUNCTION("IMPORTRANGE(""https://docs.google.com/spreadsheets/d/1-uDff_7J0KD5mKrp0Vvzr7lt3OU09vwQwhkpOPPYv2Y/edit?usp=sharing"",""งบพรบ!CX23"")"),0)</f>
        <v>0</v>
      </c>
      <c r="M195" s="230">
        <f ca="1">IFERROR(__xludf.DUMMYFUNCTION("IMPORTRANGE(""https://docs.google.com/spreadsheets/d/1-uDff_7J0KD5mKrp0Vvzr7lt3OU09vwQwhkpOPPYv2Y/edit?usp=sharing"",""งบพรบ!DA23"")"),0)</f>
        <v>0</v>
      </c>
      <c r="N195" s="230">
        <f ca="1">IFERROR(__xludf.DUMMYFUNCTION("IMPORTRANGE(""https://docs.google.com/spreadsheets/d/1-uDff_7J0KD5mKrp0Vvzr7lt3OU09vwQwhkpOPPYv2Y/edit?usp=sharing"",""งบพรบ!DC23"")"),0)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IFERROR(__xludf.DUMMYFUNCTION("IMPORTRANGE(""https://docs.google.com/spreadsheets/d/1eHaY18a8A9IcSdp1K8H6x8fbOy06t2VsZHhMHf-1x7Y/edit?usp=sharing"",""แผน!AB23"")"),6000)</f>
        <v>6000</v>
      </c>
      <c r="M197" s="42"/>
      <c r="N197" s="540">
        <v>360</v>
      </c>
      <c r="O197" s="515">
        <f ca="1">IF(L197&gt;0,N197*100/L197,0)</f>
        <v>6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IFERROR(__xludf.DUMMYFUNCTION("IMPORTRANGE(""https://docs.google.com/spreadsheets/d/1eHaY18a8A9IcSdp1K8H6x8fbOy06t2VsZHhMHf-1x7Y/edit?usp=sharing"",""แผน!AE23"")"),4)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1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1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4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57000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IFERROR(__xludf.DUMMYFUNCTION("IMPORTRANGE(""https://docs.google.com/spreadsheets/d/1eHaY18a8A9IcSdp1K8H6x8fbOy06t2VsZHhMHf-1x7Y/edit?usp=sharing"",""แผน!AG23"")"),4000)</f>
        <v>4000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IFERROR(__xludf.DUMMYFUNCTION("IMPORTRANGE(""https://docs.google.com/spreadsheets/d/1eHaY18a8A9IcSdp1K8H6x8fbOy06t2VsZHhMHf-1x7Y/edit?usp=sharing"",""แผน!AH23"")"),0)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IFERROR(__xludf.DUMMYFUNCTION("IMPORTRANGE(""https://docs.google.com/spreadsheets/d/1eHaY18a8A9IcSdp1K8H6x8fbOy06t2VsZHhMHf-1x7Y/edit?usp=sharing"",""แผน!AI23"")"),32000)</f>
        <v>32000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IFERROR(__xludf.DUMMYFUNCTION("IMPORTRANGE(""https://docs.google.com/spreadsheets/d/1eHaY18a8A9IcSdp1K8H6x8fbOy06t2VsZHhMHf-1x7Y/edit?usp=sharing"",""แผน!AJ23"")"),21000)</f>
        <v>21000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IFERROR(__xludf.DUMMYFUNCTION("IMPORTRANGE(""https://docs.google.com/spreadsheets/d/1eHaY18a8A9IcSdp1K8H6x8fbOy06t2VsZHhMHf-1x7Y/edit?usp=sharing"",""แผน!AK23"")"),4)</f>
        <v>4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IFERROR(__xludf.DUMMYFUNCTION("IMPORTRANGE(""https://docs.google.com/spreadsheets/d/1eHaY18a8A9IcSdp1K8H6x8fbOy06t2VsZHhMHf-1x7Y/edit?usp=sharing"",""แผน!JX23"")"),4)</f>
        <v>4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IFERROR(__xludf.DUMMYFUNCTION("IMPORTRANGE(""https://docs.google.com/spreadsheets/d/1eHaY18a8A9IcSdp1K8H6x8fbOy06t2VsZHhMHf-1x7Y/edit?usp=sharing"",""แผน!JY23"")"),1)</f>
        <v>1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2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28000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IFERROR(__xludf.DUMMYFUNCTION("IMPORTRANGE(""https://docs.google.com/spreadsheets/d/1eHaY18a8A9IcSdp1K8H6x8fbOy06t2VsZHhMHf-1x7Y/edit?usp=sharing"",""แผน!AM23"")"),2000)</f>
        <v>2000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IFERROR(__xludf.DUMMYFUNCTION("IMPORTRANGE(""https://docs.google.com/spreadsheets/d/1eHaY18a8A9IcSdp1K8H6x8fbOy06t2VsZHhMHf-1x7Y/edit?usp=sharing"",""แผน!AN23"")"),10000)</f>
        <v>10000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IFERROR(__xludf.DUMMYFUNCTION("IMPORTRANGE(""https://docs.google.com/spreadsheets/d/1eHaY18a8A9IcSdp1K8H6x8fbOy06t2VsZHhMHf-1x7Y/edit?usp=sharing"",""แผน!AO23"")"),16000)</f>
        <v>16000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IFERROR(__xludf.DUMMYFUNCTION("IMPORTRANGE(""https://docs.google.com/spreadsheets/d/1eHaY18a8A9IcSdp1K8H6x8fbOy06t2VsZHhMHf-1x7Y/edit?usp=sharing"",""แผน!AP23"")"),2)</f>
        <v>2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IFERROR(__xludf.DUMMYFUNCTION("IMPORTRANGE(""https://docs.google.com/spreadsheets/d/1eHaY18a8A9IcSdp1K8H6x8fbOy06t2VsZHhMHf-1x7Y/edit?usp=sharing"",""แผน!AP23"")"),2)</f>
        <v>2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128000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16500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IFERROR(__xludf.DUMMYFUNCTION("IMPORTRANGE(""https://docs.google.com/spreadsheets/d/1eHaY18a8A9IcSdp1K8H6x8fbOy06t2VsZHhMHf-1x7Y/edit?usp=sharing"",""แผน!AR23"")"),15000)</f>
        <v>15000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IFERROR(__xludf.DUMMYFUNCTION("IMPORTRANGE(""https://docs.google.com/spreadsheets/d/1eHaY18a8A9IcSdp1K8H6x8fbOy06t2VsZHhMHf-1x7Y/edit?usp=sharing"",""แผน!AS23"")"),1500)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IFERROR(__xludf.DUMMYFUNCTION("IMPORTRANGE(""https://docs.google.com/spreadsheets/d/1eHaY18a8A9IcSdp1K8H6x8fbOy06t2VsZHhMHf-1x7Y/edit?usp=sharing"",""แผน!AT23"")"),0)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IFERROR(__xludf.DUMMYFUNCTION("IMPORTRANGE(""https://docs.google.com/spreadsheets/d/1eHaY18a8A9IcSdp1K8H6x8fbOy06t2VsZHhMHf-1x7Y/edit?usp=sharing"",""แผน!AV23"")"),128000)</f>
        <v>128000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IFERROR(__xludf.DUMMYFUNCTION("IMPORTRANGE(""https://docs.google.com/spreadsheets/d/1eHaY18a8A9IcSdp1K8H6x8fbOy06t2VsZHhMHf-1x7Y/edit?usp=sharing"",""แผน!AV23"")"),128000)</f>
        <v>128000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IFERROR(__xludf.DUMMYFUNCTION("IMPORTRANGE(""https://docs.google.com/spreadsheets/d/1eHaY18a8A9IcSdp1K8H6x8fbOy06t2VsZHhMHf-1x7Y/edit?usp=sharing"",""แผน!AU23"")"),0)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IFERROR(__xludf.DUMMYFUNCTION("IMPORTRANGE(""https://docs.google.com/spreadsheets/d/1eHaY18a8A9IcSdp1K8H6x8fbOy06t2VsZHhMHf-1x7Y/edit?usp=sharing"",""แผน!AX23"")"),0)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IFERROR(__xludf.DUMMYFUNCTION("IMPORTRANGE(""https://docs.google.com/spreadsheets/d/1eHaY18a8A9IcSdp1K8H6x8fbOy06t2VsZHhMHf-1x7Y/edit?usp=sharing"",""แผน!AY23"")"),0)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IFERROR(__xludf.DUMMYFUNCTION("IMPORTRANGE(""https://docs.google.com/spreadsheets/d/1eHaY18a8A9IcSdp1K8H6x8fbOy06t2VsZHhMHf-1x7Y/edit?usp=sharing"",""แผน!AZ23"")"),0)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IFERROR(__xludf.DUMMYFUNCTION("IMPORTRANGE(""https://docs.google.com/spreadsheets/d/1eHaY18a8A9IcSdp1K8H6x8fbOy06t2VsZHhMHf-1x7Y/edit?usp=sharing"",""แผน!BA23"")"),0)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IFERROR(__xludf.DUMMYFUNCTION("IMPORTRANGE(""https://docs.google.com/spreadsheets/d/1eHaY18a8A9IcSdp1K8H6x8fbOy06t2VsZHhMHf-1x7Y/edit?usp=sharing"",""แผน!BG23"")"),0)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IFERROR(__xludf.DUMMYFUNCTION("IMPORTRANGE(""https://docs.google.com/spreadsheets/d/1eHaY18a8A9IcSdp1K8H6x8fbOy06t2VsZHhMHf-1x7Y/edit?usp=sharing"",""แผน!BB23"")"),0)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IFERROR(__xludf.DUMMYFUNCTION("IMPORTRANGE(""https://docs.google.com/spreadsheets/d/1eHaY18a8A9IcSdp1K8H6x8fbOy06t2VsZHhMHf-1x7Y/edit?usp=sharing"",""แผน!BC23"")"),0)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IFERROR(__xludf.DUMMYFUNCTION("IMPORTRANGE(""https://docs.google.com/spreadsheets/d/1eHaY18a8A9IcSdp1K8H6x8fbOy06t2VsZHhMHf-1x7Y/edit?usp=sharing"",""แผน!BD23"")"),0)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IFERROR(__xludf.DUMMYFUNCTION("IMPORTRANGE(""https://docs.google.com/spreadsheets/d/1eHaY18a8A9IcSdp1K8H6x8fbOy06t2VsZHhMHf-1x7Y/edit?usp=sharing"",""แผน!BE23"")"),0)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IFERROR(__xludf.DUMMYFUNCTION("IMPORTRANGE(""https://docs.google.com/spreadsheets/d/1eHaY18a8A9IcSdp1K8H6x8fbOy06t2VsZHhMHf-1x7Y/edit?usp=sharing"",""แผน!BH23"")"),0)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33"/>
      <c r="M265" s="206"/>
      <c r="N265" s="206"/>
      <c r="O265" s="206"/>
      <c r="P265" s="206"/>
      <c r="Q265" s="206"/>
      <c r="R265" s="206"/>
      <c r="S265" s="206"/>
      <c r="T265" s="206"/>
      <c r="U265" s="206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22</v>
      </c>
      <c r="J266" s="570">
        <f t="shared" si="161"/>
        <v>0</v>
      </c>
      <c r="K266" s="571">
        <f ca="1">IF(I266&gt;0,J266*100/I266,0)</f>
        <v>0</v>
      </c>
      <c r="L266" s="536"/>
      <c r="M266" s="213"/>
      <c r="N266" s="213"/>
      <c r="O266" s="213"/>
      <c r="P266" s="213"/>
      <c r="Q266" s="213"/>
      <c r="R266" s="213"/>
      <c r="S266" s="213"/>
      <c r="T266" s="213"/>
      <c r="U266" s="21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14">
        <f t="shared" ref="L267:N267" ca="1" si="162">L268+L269</f>
        <v>0</v>
      </c>
      <c r="M267" s="515">
        <f t="shared" ca="1" si="162"/>
        <v>5000</v>
      </c>
      <c r="N267" s="515">
        <f t="shared" ca="1" si="162"/>
        <v>0</v>
      </c>
      <c r="O267" s="515">
        <f t="shared" ref="O267:O275" ca="1" si="163">IF(L267&gt;0,N267*100/L267,0)</f>
        <v>0</v>
      </c>
      <c r="P267" s="515">
        <f t="shared" ref="P267:P275" ca="1" si="164">IF(M267&gt;0,N267*100/M267,0)</f>
        <v>0</v>
      </c>
      <c r="Q267" s="515">
        <f t="shared" ref="Q267:S267" ca="1" si="165">Q268+Q269</f>
        <v>50660</v>
      </c>
      <c r="R267" s="515">
        <f t="shared" ca="1" si="165"/>
        <v>50660</v>
      </c>
      <c r="S267" s="515">
        <f t="shared" ca="1" si="165"/>
        <v>0</v>
      </c>
      <c r="T267" s="515">
        <f t="shared" ref="T267:T275" ca="1" si="166">IF(Q267&gt;0,S267*100/Q267,0)</f>
        <v>0</v>
      </c>
      <c r="U267" s="515">
        <f t="shared" ref="U267:U275" ca="1" si="167">IF(R267&gt;0,S267*100/R267,0)</f>
        <v>0</v>
      </c>
    </row>
    <row r="268" spans="1:21" ht="18.75" hidden="1" x14ac:dyDescent="0.25">
      <c r="A268" s="126"/>
      <c r="B268" s="187"/>
      <c r="C268" s="187"/>
      <c r="D268" s="187"/>
      <c r="E268" s="154" t="s">
        <v>20</v>
      </c>
      <c r="F268" s="187"/>
      <c r="G268" s="39"/>
      <c r="H268" s="155" t="s">
        <v>14</v>
      </c>
      <c r="I268" s="41"/>
      <c r="J268" s="41"/>
      <c r="K268" s="42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481">
        <f t="shared" ca="1" si="168"/>
        <v>0</v>
      </c>
      <c r="M269" s="230">
        <f t="shared" ca="1" si="168"/>
        <v>5000</v>
      </c>
      <c r="N269" s="230">
        <f t="shared" ca="1" si="168"/>
        <v>0</v>
      </c>
      <c r="O269" s="230">
        <f t="shared" ca="1" si="163"/>
        <v>0</v>
      </c>
      <c r="P269" s="230">
        <f t="shared" ca="1" si="164"/>
        <v>0</v>
      </c>
      <c r="Q269" s="230">
        <f t="shared" ca="1" si="169"/>
        <v>50660</v>
      </c>
      <c r="R269" s="230">
        <f t="shared" ca="1" si="169"/>
        <v>50660</v>
      </c>
      <c r="S269" s="230">
        <f t="shared" ca="1" si="169"/>
        <v>0</v>
      </c>
      <c r="T269" s="230">
        <f t="shared" ca="1" si="166"/>
        <v>0</v>
      </c>
      <c r="U269" s="230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481">
        <f t="shared" ref="L270:N270" ca="1" si="170">L271+L272</f>
        <v>0</v>
      </c>
      <c r="M270" s="230">
        <f t="shared" ca="1" si="170"/>
        <v>5000</v>
      </c>
      <c r="N270" s="230">
        <f t="shared" ca="1" si="170"/>
        <v>0</v>
      </c>
      <c r="O270" s="230">
        <f t="shared" ca="1" si="163"/>
        <v>0</v>
      </c>
      <c r="P270" s="230">
        <f t="shared" ca="1" si="164"/>
        <v>0</v>
      </c>
      <c r="Q270" s="230">
        <f t="shared" ref="Q270:S270" ca="1" si="171">Q271+Q272</f>
        <v>50660</v>
      </c>
      <c r="R270" s="230">
        <f t="shared" ca="1" si="171"/>
        <v>50660</v>
      </c>
      <c r="S270" s="230">
        <f t="shared" ca="1" si="171"/>
        <v>0</v>
      </c>
      <c r="T270" s="230">
        <f t="shared" ca="1" si="166"/>
        <v>0</v>
      </c>
      <c r="U270" s="230">
        <f t="shared" ca="1" si="167"/>
        <v>0</v>
      </c>
    </row>
    <row r="271" spans="1:21" ht="18.75" hidden="1" x14ac:dyDescent="0.25">
      <c r="A271" s="126"/>
      <c r="B271" s="187"/>
      <c r="C271" s="187"/>
      <c r="D271" s="187"/>
      <c r="E271" s="154" t="s">
        <v>36</v>
      </c>
      <c r="F271" s="187"/>
      <c r="G271" s="39"/>
      <c r="H271" s="157" t="s">
        <v>14</v>
      </c>
      <c r="I271" s="133"/>
      <c r="J271" s="133"/>
      <c r="K271" s="134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481">
        <f ca="1">IFERROR(__xludf.DUMMYFUNCTION("IMPORTRANGE(""https://docs.google.com/spreadsheets/d/1-uDff_7J0KD5mKrp0Vvzr7lt3OU09vwQwhkpOPPYv2Y/edit?usp=sharing"",""งบพรบ!DE23"")"),0)</f>
        <v>0</v>
      </c>
      <c r="M272" s="230">
        <f ca="1">IFERROR(__xludf.DUMMYFUNCTION("IMPORTRANGE(""https://docs.google.com/spreadsheets/d/1-uDff_7J0KD5mKrp0Vvzr7lt3OU09vwQwhkpOPPYv2Y/edit?usp=sharing"",""งบพรบ!DJ23"")"),5000)</f>
        <v>5000</v>
      </c>
      <c r="N272" s="230">
        <f ca="1">IFERROR(__xludf.DUMMYFUNCTION("IMPORTRANGE(""https://docs.google.com/spreadsheets/d/1-uDff_7J0KD5mKrp0Vvzr7lt3OU09vwQwhkpOPPYv2Y/edit?usp=sharing"",""งบพรบ!DL23"")"),0)</f>
        <v>0</v>
      </c>
      <c r="O272" s="230">
        <f t="shared" ca="1" si="163"/>
        <v>0</v>
      </c>
      <c r="P272" s="230">
        <f t="shared" ca="1" si="164"/>
        <v>0</v>
      </c>
      <c r="Q272" s="230">
        <f ca="1">IFERROR(__xludf.DUMMYFUNCTION("IMPORTRANGE(""https://docs.google.com/spreadsheets/d/1ItG2mGa2ceCfYo0BwxsXqNm01IGEUdYcSSLTEv9YCik/edit?usp=sharing"",""เบิกจ่ายกองทุน!AJ23"")"),50660)</f>
        <v>50660</v>
      </c>
      <c r="R272" s="230">
        <f ca="1">IFERROR(__xludf.DUMMYFUNCTION("IMPORTRANGE(""https://docs.google.com/spreadsheets/d/1ItG2mGa2ceCfYo0BwxsXqNm01IGEUdYcSSLTEv9YCik/edit?usp=sharing"",""เบิกจ่ายกองทุน!AK23"")"),50660)</f>
        <v>50660</v>
      </c>
      <c r="S272" s="230">
        <f ca="1">IFERROR(__xludf.DUMMYFUNCTION("IMPORTRANGE(""https://docs.google.com/spreadsheets/d/1ItG2mGa2ceCfYo0BwxsXqNm01IGEUdYcSSLTEv9YCik/edit?usp=sharing"",""เบิกจ่ายกองทุน!AL23"")"),0)</f>
        <v>0</v>
      </c>
      <c r="T272" s="230">
        <f t="shared" ca="1" si="166"/>
        <v>0</v>
      </c>
      <c r="U272" s="230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481">
        <f t="shared" ref="L273:N273" ca="1" si="172">L274+L275</f>
        <v>0</v>
      </c>
      <c r="M273" s="230">
        <f t="shared" ca="1" si="172"/>
        <v>0</v>
      </c>
      <c r="N273" s="230">
        <f t="shared" ca="1" si="172"/>
        <v>0</v>
      </c>
      <c r="O273" s="230">
        <f t="shared" ca="1" si="163"/>
        <v>0</v>
      </c>
      <c r="P273" s="230">
        <f t="shared" ca="1" si="164"/>
        <v>0</v>
      </c>
      <c r="Q273" s="230">
        <f t="shared" ref="Q273:S273" si="173">Q274+Q275</f>
        <v>0</v>
      </c>
      <c r="R273" s="230">
        <f t="shared" si="173"/>
        <v>0</v>
      </c>
      <c r="S273" s="230">
        <f t="shared" si="173"/>
        <v>0</v>
      </c>
      <c r="T273" s="230">
        <f t="shared" si="166"/>
        <v>0</v>
      </c>
      <c r="U273" s="230">
        <f t="shared" si="167"/>
        <v>0</v>
      </c>
    </row>
    <row r="274" spans="1:21" ht="18.75" hidden="1" x14ac:dyDescent="0.25">
      <c r="A274" s="126"/>
      <c r="B274" s="187"/>
      <c r="C274" s="187"/>
      <c r="D274" s="187"/>
      <c r="E274" s="154" t="s">
        <v>20</v>
      </c>
      <c r="F274" s="187"/>
      <c r="G274" s="39"/>
      <c r="H274" s="157" t="s">
        <v>14</v>
      </c>
      <c r="I274" s="133"/>
      <c r="J274" s="133"/>
      <c r="K274" s="134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481">
        <f ca="1">IFERROR(__xludf.DUMMYFUNCTION("IMPORTRANGE(""https://docs.google.com/spreadsheets/d/1-uDff_7J0KD5mKrp0Vvzr7lt3OU09vwQwhkpOPPYv2Y/edit?usp=sharing"",""งบพรบ!DH23"")"),0)</f>
        <v>0</v>
      </c>
      <c r="M275" s="230">
        <f ca="1">IFERROR(__xludf.DUMMYFUNCTION("IMPORTRANGE(""https://docs.google.com/spreadsheets/d/1-uDff_7J0KD5mKrp0Vvzr7lt3OU09vwQwhkpOPPYv2Y/edit?usp=sharing"",""งบพรบ!DK23"")"),0)</f>
        <v>0</v>
      </c>
      <c r="N275" s="230">
        <f ca="1">IFERROR(__xludf.DUMMYFUNCTION("IMPORTRANGE(""https://docs.google.com/spreadsheets/d/1-uDff_7J0KD5mKrp0Vvzr7lt3OU09vwQwhkpOPPYv2Y/edit?usp=sharing"",""งบพรบ!DM23"")"),0)</f>
        <v>0</v>
      </c>
      <c r="O275" s="230">
        <f t="shared" ca="1" si="163"/>
        <v>0</v>
      </c>
      <c r="P275" s="230">
        <f t="shared" ca="1" si="164"/>
        <v>0</v>
      </c>
      <c r="Q275" s="230">
        <v>0</v>
      </c>
      <c r="R275" s="230">
        <v>0</v>
      </c>
      <c r="S275" s="230">
        <v>0</v>
      </c>
      <c r="T275" s="230">
        <f t="shared" si="166"/>
        <v>0</v>
      </c>
      <c r="U275" s="230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517"/>
      <c r="M276" s="134"/>
      <c r="N276" s="134"/>
      <c r="O276" s="134"/>
      <c r="P276" s="134"/>
      <c r="Q276" s="134"/>
      <c r="R276" s="134"/>
      <c r="S276" s="134"/>
      <c r="T276" s="134"/>
      <c r="U276" s="134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IFERROR(__xludf.DUMMYFUNCTION("IMPORTRANGE(""https://docs.google.com/spreadsheets/d/1eHaY18a8A9IcSdp1K8H6x8fbOy06t2VsZHhMHf-1x7Y/edit?usp=sharing"",""แผน!EC23"")"),22)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70</v>
      </c>
      <c r="J281" s="619">
        <f t="shared" si="174"/>
        <v>70</v>
      </c>
      <c r="K281" s="620">
        <f t="shared" ref="K281:K282" ca="1" si="175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700</v>
      </c>
      <c r="J282" s="619">
        <f t="shared" si="176"/>
        <v>700</v>
      </c>
      <c r="K282" s="620">
        <f t="shared" ca="1" si="175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222220</v>
      </c>
      <c r="M283" s="515">
        <f t="shared" ca="1" si="177"/>
        <v>222220</v>
      </c>
      <c r="N283" s="515">
        <f t="shared" ca="1" si="177"/>
        <v>177195.95</v>
      </c>
      <c r="O283" s="515">
        <f t="shared" ref="O283:O291" ca="1" si="178">IF(L283&gt;0,N283*100/L283,0)</f>
        <v>79.738974889748903</v>
      </c>
      <c r="P283" s="515">
        <f t="shared" ref="P283:P291" ca="1" si="179">IF(M283&gt;0,N283*100/M283,0)</f>
        <v>79.738974889748903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222220</v>
      </c>
      <c r="M285" s="230">
        <f t="shared" ca="1" si="183"/>
        <v>222220</v>
      </c>
      <c r="N285" s="230">
        <f t="shared" ca="1" si="183"/>
        <v>177195.95</v>
      </c>
      <c r="O285" s="230">
        <f t="shared" ca="1" si="178"/>
        <v>79.738974889748903</v>
      </c>
      <c r="P285" s="230">
        <f t="shared" ca="1" si="179"/>
        <v>79.738974889748903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222220</v>
      </c>
      <c r="M286" s="230">
        <f t="shared" ca="1" si="185"/>
        <v>222220</v>
      </c>
      <c r="N286" s="230">
        <f t="shared" ca="1" si="185"/>
        <v>177195.95</v>
      </c>
      <c r="O286" s="230">
        <f t="shared" ca="1" si="178"/>
        <v>79.738974889748903</v>
      </c>
      <c r="P286" s="230">
        <f t="shared" ca="1" si="179"/>
        <v>79.738974889748903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IFERROR(__xludf.DUMMYFUNCTION("IMPORTRANGE(""https://docs.google.com/spreadsheets/d/1-uDff_7J0KD5mKrp0Vvzr7lt3OU09vwQwhkpOPPYv2Y/edit?usp=sharing"",""งบพรบ!DO23"")"),222220)</f>
        <v>222220</v>
      </c>
      <c r="M288" s="230">
        <f ca="1">IFERROR(__xludf.DUMMYFUNCTION("IMPORTRANGE(""https://docs.google.com/spreadsheets/d/1-uDff_7J0KD5mKrp0Vvzr7lt3OU09vwQwhkpOPPYv2Y/edit?usp=sharing"",""งบพรบ!DT23"")"),222220)</f>
        <v>222220</v>
      </c>
      <c r="N288" s="230">
        <f ca="1">IFERROR(__xludf.DUMMYFUNCTION("IMPORTRANGE(""https://docs.google.com/spreadsheets/d/1-uDff_7J0KD5mKrp0Vvzr7lt3OU09vwQwhkpOPPYv2Y/edit?usp=sharing"",""งบพรบ!DV23"")"),177195.95)</f>
        <v>177195.95</v>
      </c>
      <c r="O288" s="230">
        <f t="shared" ca="1" si="178"/>
        <v>79.738974889748903</v>
      </c>
      <c r="P288" s="230">
        <f t="shared" ca="1" si="179"/>
        <v>79.738974889748903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IFERROR(__xludf.DUMMYFUNCTION("IMPORTRANGE(""https://docs.google.com/spreadsheets/d/1-uDff_7J0KD5mKrp0Vvzr7lt3OU09vwQwhkpOPPYv2Y/edit?usp=sharing"",""งบพรบ!DR23"")"),0)</f>
        <v>0</v>
      </c>
      <c r="M291" s="230">
        <f ca="1">IFERROR(__xludf.DUMMYFUNCTION("IMPORTRANGE(""https://docs.google.com/spreadsheets/d/1-uDff_7J0KD5mKrp0Vvzr7lt3OU09vwQwhkpOPPYv2Y/edit?usp=sharing"",""งบพรบ!DU23"")"),0)</f>
        <v>0</v>
      </c>
      <c r="N291" s="230">
        <f ca="1">IFERROR(__xludf.DUMMYFUNCTION("IMPORTRANGE(""https://docs.google.com/spreadsheets/d/1-uDff_7J0KD5mKrp0Vvzr7lt3OU09vwQwhkpOPPYv2Y/edit?usp=sharing"",""งบพรบ!DW23"")"),0)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IFERROR(__xludf.DUMMYFUNCTION("IMPORTRANGE(""https://docs.google.com/spreadsheets/d/1eHaY18a8A9IcSdp1K8H6x8fbOy06t2VsZHhMHf-1x7Y/edit?usp=sharing"",""แผน!EE23"")"),700)</f>
        <v>700</v>
      </c>
      <c r="J293" s="520">
        <v>700</v>
      </c>
      <c r="K293" s="521">
        <f t="shared" ref="K293:K294" ca="1" si="189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IFERROR(__xludf.DUMMYFUNCTION("IMPORTRANGE(""https://docs.google.com/spreadsheets/d/1eHaY18a8A9IcSdp1K8H6x8fbOy06t2VsZHhMHf-1x7Y/edit?usp=sharing"",""แผน!ED23"")"),70)</f>
        <v>70</v>
      </c>
      <c r="J294" s="340">
        <f>J297</f>
        <v>70</v>
      </c>
      <c r="K294" s="518">
        <f t="shared" ca="1" si="189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IFERROR(__xludf.DUMMYFUNCTION("IMPORTRANGE(""https://docs.google.com/spreadsheets/d/1eHaY18a8A9IcSdp1K8H6x8fbOy06t2VsZHhMHf-1x7Y/edit?usp=sharing"",""แผน!ED23"")"),70)</f>
        <v>70</v>
      </c>
      <c r="J296" s="520">
        <v>70</v>
      </c>
      <c r="K296" s="521">
        <f t="shared" ref="K296:K297" ca="1" si="190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IFERROR(__xludf.DUMMYFUNCTION("IMPORTRANGE(""https://docs.google.com/spreadsheets/d/1eHaY18a8A9IcSdp1K8H6x8fbOy06t2VsZHhMHf-1x7Y/edit?usp=sharing"",""แผน!ED23"")"),70)</f>
        <v>70</v>
      </c>
      <c r="J297" s="520">
        <v>70</v>
      </c>
      <c r="K297" s="521">
        <f t="shared" ca="1" si="190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25</v>
      </c>
      <c r="J303" s="623">
        <f t="shared" si="191"/>
        <v>25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152100</v>
      </c>
      <c r="M304" s="515">
        <f t="shared" ca="1" si="192"/>
        <v>152100</v>
      </c>
      <c r="N304" s="515">
        <f t="shared" ca="1" si="192"/>
        <v>105725</v>
      </c>
      <c r="O304" s="515">
        <f t="shared" ref="O304:O312" ca="1" si="193">IF(L304&gt;0,N304*100/L304,0)</f>
        <v>69.510190664036813</v>
      </c>
      <c r="P304" s="515">
        <f t="shared" ref="P304:P312" ca="1" si="194">IF(M304&gt;0,N304*100/M304,0)</f>
        <v>69.510190664036813</v>
      </c>
      <c r="Q304" s="515">
        <f t="shared" ref="Q304:S304" ca="1" si="195">Q305+Q306</f>
        <v>166057.24</v>
      </c>
      <c r="R304" s="515">
        <f t="shared" ca="1" si="195"/>
        <v>166057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152100</v>
      </c>
      <c r="M306" s="230">
        <f t="shared" ca="1" si="198"/>
        <v>152100</v>
      </c>
      <c r="N306" s="230">
        <f t="shared" ca="1" si="198"/>
        <v>105725</v>
      </c>
      <c r="O306" s="230">
        <f t="shared" ca="1" si="193"/>
        <v>69.510190664036813</v>
      </c>
      <c r="P306" s="230">
        <f t="shared" ca="1" si="194"/>
        <v>69.510190664036813</v>
      </c>
      <c r="Q306" s="230">
        <f t="shared" ca="1" si="199"/>
        <v>166057.24</v>
      </c>
      <c r="R306" s="230">
        <f t="shared" ca="1" si="199"/>
        <v>166057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152100</v>
      </c>
      <c r="M307" s="230">
        <f t="shared" ca="1" si="200"/>
        <v>152100</v>
      </c>
      <c r="N307" s="230">
        <f t="shared" ca="1" si="200"/>
        <v>105725</v>
      </c>
      <c r="O307" s="230">
        <f t="shared" ca="1" si="193"/>
        <v>69.510190664036813</v>
      </c>
      <c r="P307" s="230">
        <f t="shared" ca="1" si="194"/>
        <v>69.510190664036813</v>
      </c>
      <c r="Q307" s="230">
        <f t="shared" ref="Q307:S307" ca="1" si="201">Q308+Q309</f>
        <v>166057.24</v>
      </c>
      <c r="R307" s="230">
        <f t="shared" ca="1" si="201"/>
        <v>166057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IFERROR(__xludf.DUMMYFUNCTION("IMPORTRANGE(""https://docs.google.com/spreadsheets/d/1-uDff_7J0KD5mKrp0Vvzr7lt3OU09vwQwhkpOPPYv2Y/edit?usp=sharing"",""งบพรบ!DY23"")"),152100)</f>
        <v>152100</v>
      </c>
      <c r="M309" s="230">
        <f ca="1">IFERROR(__xludf.DUMMYFUNCTION("IMPORTRANGE(""https://docs.google.com/spreadsheets/d/1-uDff_7J0KD5mKrp0Vvzr7lt3OU09vwQwhkpOPPYv2Y/edit?usp=sharing"",""งบพรบ!ED23"")"),152100)</f>
        <v>152100</v>
      </c>
      <c r="N309" s="230">
        <f ca="1">IFERROR(__xludf.DUMMYFUNCTION("IMPORTRANGE(""https://docs.google.com/spreadsheets/d/1-uDff_7J0KD5mKrp0Vvzr7lt3OU09vwQwhkpOPPYv2Y/edit?usp=sharing"",""งบพรบ!EF23"")"),105725)</f>
        <v>105725</v>
      </c>
      <c r="O309" s="230">
        <f t="shared" ca="1" si="193"/>
        <v>69.510190664036813</v>
      </c>
      <c r="P309" s="230">
        <f t="shared" ca="1" si="194"/>
        <v>69.510190664036813</v>
      </c>
      <c r="Q309" s="230">
        <f ca="1">IFERROR(__xludf.DUMMYFUNCTION("IMPORTRANGE(""https://docs.google.com/spreadsheets/d/1ItG2mGa2ceCfYo0BwxsXqNm01IGEUdYcSSLTEv9YCik/edit?usp=sharing"",""เบิกจ่ายกองทุน!AP23"")"),166057.24)</f>
        <v>166057.24</v>
      </c>
      <c r="R309" s="230">
        <f ca="1">IFERROR(__xludf.DUMMYFUNCTION("IMPORTRANGE(""https://docs.google.com/spreadsheets/d/1ItG2mGa2ceCfYo0BwxsXqNm01IGEUdYcSSLTEv9YCik/edit?usp=sharing"",""เบิกจ่ายกองทุน!AQ23"")"),166057)</f>
        <v>166057</v>
      </c>
      <c r="S309" s="230">
        <f ca="1">IFERROR(__xludf.DUMMYFUNCTION("IMPORTRANGE(""https://docs.google.com/spreadsheets/d/1ItG2mGa2ceCfYo0BwxsXqNm01IGEUdYcSSLTEv9YCik/edit?usp=sharing"",""เบิกจ่ายกองทุน!AR23"")"),0)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IFERROR(__xludf.DUMMYFUNCTION("IMPORTRANGE(""https://docs.google.com/spreadsheets/d/1-uDff_7J0KD5mKrp0Vvzr7lt3OU09vwQwhkpOPPYv2Y/edit?usp=sharing"",""งบพรบ!EB23"")"),0)</f>
        <v>0</v>
      </c>
      <c r="M312" s="230">
        <f ca="1">IFERROR(__xludf.DUMMYFUNCTION("IMPORTRANGE(""https://docs.google.com/spreadsheets/d/1-uDff_7J0KD5mKrp0Vvzr7lt3OU09vwQwhkpOPPYv2Y/edit?usp=sharing"",""งบพรบ!EE23"")"),0)</f>
        <v>0</v>
      </c>
      <c r="N312" s="230">
        <f ca="1">IFERROR(__xludf.DUMMYFUNCTION("IMPORTRANGE(""https://docs.google.com/spreadsheets/d/1-uDff_7J0KD5mKrp0Vvzr7lt3OU09vwQwhkpOPPYv2Y/edit?usp=sharing"",""งบพรบ!EG23"")"),0)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IFERROR(__xludf.DUMMYFUNCTION("IMPORTRANGE(""https://docs.google.com/spreadsheets/d/1eHaY18a8A9IcSdp1K8H6x8fbOy06t2VsZHhMHf-1x7Y/edit?usp=sharing"",""แผน!EF23"")"),25)</f>
        <v>25</v>
      </c>
      <c r="J315" s="520">
        <v>25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IFERROR(__xludf.DUMMYFUNCTION("IMPORTRANGE(""https://docs.google.com/spreadsheets/d/1-uDff_7J0KD5mKrp0Vvzr7lt3OU09vwQwhkpOPPYv2Y/edit?usp=sharing"",""งบพรบ!EI23"")"),0)</f>
        <v>0</v>
      </c>
      <c r="M326" s="230">
        <f ca="1">IFERROR(__xludf.DUMMYFUNCTION("IMPORTRANGE(""https://docs.google.com/spreadsheets/d/1-uDff_7J0KD5mKrp0Vvzr7lt3OU09vwQwhkpOPPYv2Y/edit?usp=sharing"",""งบพรบ!EN23"")"),0)</f>
        <v>0</v>
      </c>
      <c r="N326" s="230">
        <f ca="1">IFERROR(__xludf.DUMMYFUNCTION("IMPORTRANGE(""https://docs.google.com/spreadsheets/d/1-uDff_7J0KD5mKrp0Vvzr7lt3OU09vwQwhkpOPPYv2Y/edit?usp=sharing"",""งบพรบ!EP23"")"),0)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IFERROR(__xludf.DUMMYFUNCTION("IMPORTRANGE(""https://docs.google.com/spreadsheets/d/1-uDff_7J0KD5mKrp0Vvzr7lt3OU09vwQwhkpOPPYv2Y/edit?usp=sharing"",""งบพรบ!EL23"")"),0)</f>
        <v>0</v>
      </c>
      <c r="M329" s="230">
        <f ca="1">IFERROR(__xludf.DUMMYFUNCTION("IMPORTRANGE(""https://docs.google.com/spreadsheets/d/1-uDff_7J0KD5mKrp0Vvzr7lt3OU09vwQwhkpOPPYv2Y/edit?usp=sharing"",""งบพรบ!EO23"")"),0)</f>
        <v>0</v>
      </c>
      <c r="N329" s="230">
        <f ca="1">IFERROR(__xludf.DUMMYFUNCTION("IMPORTRANGE(""https://docs.google.com/spreadsheets/d/1-uDff_7J0KD5mKrp0Vvzr7lt3OU09vwQwhkpOPPYv2Y/edit?usp=sharing"",""งบพรบ!EQ23"")"),0)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IFERROR(__xludf.DUMMYFUNCTION("IMPORTRANGE(""https://docs.google.com/spreadsheets/d/1eHaY18a8A9IcSdp1K8H6x8fbOy06t2VsZHhMHf-1x7Y/edit?usp=sharing"",""แผน!EJ23"")"),0)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5060</v>
      </c>
      <c r="J333" s="635">
        <f ca="1">J345+J348+J349+J350+J354</f>
        <v>13224</v>
      </c>
      <c r="K333" s="636">
        <f ca="1">IF(I333&gt;0,J333*100/I333,0)</f>
        <v>261.34387351778656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116000</v>
      </c>
      <c r="M334" s="515">
        <f t="shared" ca="1" si="217"/>
        <v>121000</v>
      </c>
      <c r="N334" s="515">
        <f t="shared" ca="1" si="217"/>
        <v>117491</v>
      </c>
      <c r="O334" s="515">
        <f t="shared" ref="O334:O342" ca="1" si="218">IF(L334&gt;0,N334*100/L334,0)</f>
        <v>101.2853448275862</v>
      </c>
      <c r="P334" s="515">
        <f t="shared" ref="P334:P342" ca="1" si="219">IF(M334&gt;0,N334*100/M334,0)</f>
        <v>97.1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116000</v>
      </c>
      <c r="M336" s="230">
        <f t="shared" ca="1" si="223"/>
        <v>121000</v>
      </c>
      <c r="N336" s="230">
        <f t="shared" ca="1" si="223"/>
        <v>117491</v>
      </c>
      <c r="O336" s="230">
        <f t="shared" ca="1" si="218"/>
        <v>101.2853448275862</v>
      </c>
      <c r="P336" s="230">
        <f t="shared" ca="1" si="219"/>
        <v>97.1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116000</v>
      </c>
      <c r="M337" s="230">
        <f t="shared" ca="1" si="225"/>
        <v>121000</v>
      </c>
      <c r="N337" s="230">
        <f t="shared" ca="1" si="225"/>
        <v>117491</v>
      </c>
      <c r="O337" s="230">
        <f t="shared" ca="1" si="218"/>
        <v>101.2853448275862</v>
      </c>
      <c r="P337" s="230">
        <f t="shared" ca="1" si="219"/>
        <v>97.1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IFERROR(__xludf.DUMMYFUNCTION("IMPORTRANGE(""https://docs.google.com/spreadsheets/d/1-uDff_7J0KD5mKrp0Vvzr7lt3OU09vwQwhkpOPPYv2Y/edit?usp=sharing"",""งบพรบ!ES23"")"),116000)</f>
        <v>116000</v>
      </c>
      <c r="M339" s="230">
        <f ca="1">IFERROR(__xludf.DUMMYFUNCTION("IMPORTRANGE(""https://docs.google.com/spreadsheets/d/1-uDff_7J0KD5mKrp0Vvzr7lt3OU09vwQwhkpOPPYv2Y/edit?usp=sharing"",""งบพรบ!EX23"")"),121000)</f>
        <v>121000</v>
      </c>
      <c r="N339" s="230">
        <f ca="1">IFERROR(__xludf.DUMMYFUNCTION("IMPORTRANGE(""https://docs.google.com/spreadsheets/d/1-uDff_7J0KD5mKrp0Vvzr7lt3OU09vwQwhkpOPPYv2Y/edit?usp=sharing"",""งบพรบ!EZ23"")"),117491)</f>
        <v>117491</v>
      </c>
      <c r="O339" s="230">
        <f t="shared" ca="1" si="218"/>
        <v>101.2853448275862</v>
      </c>
      <c r="P339" s="230">
        <f t="shared" ca="1" si="219"/>
        <v>97.1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IFERROR(__xludf.DUMMYFUNCTION("IMPORTRANGE(""https://docs.google.com/spreadsheets/d/1-uDff_7J0KD5mKrp0Vvzr7lt3OU09vwQwhkpOPPYv2Y/edit?usp=sharing"",""งบพรบ!EV23"")"),0)</f>
        <v>0</v>
      </c>
      <c r="M342" s="230">
        <f ca="1">IFERROR(__xludf.DUMMYFUNCTION("IMPORTRANGE(""https://docs.google.com/spreadsheets/d/1-uDff_7J0KD5mKrp0Vvzr7lt3OU09vwQwhkpOPPYv2Y/edit?usp=sharing"",""งบพรบ!EY23"")"),0)</f>
        <v>0</v>
      </c>
      <c r="N342" s="230">
        <f ca="1">IFERROR(__xludf.DUMMYFUNCTION("IMPORTRANGE(""https://docs.google.com/spreadsheets/d/1-uDff_7J0KD5mKrp0Vvzr7lt3OU09vwQwhkpOPPYv2Y/edit?usp=sharing"",""งบพรบ!FA23"")"),0)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9965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IFERROR(__xludf.DUMMYFUNCTION("IMPORTRANGE(""https://docs.google.com/spreadsheets/d/1eHaY18a8A9IcSdp1K8H6x8fbOy06t2VsZHhMHf-1x7Y/edit?usp=sharing"",""แผน!EK23"")"),5060)</f>
        <v>5060</v>
      </c>
      <c r="J345" s="189">
        <f ca="1">IFERROR(__xludf.DUMMYFUNCTION("IMPORTRANGE(""https://docs.google.com/spreadsheets/d/1awYsYK3VOup2i3Pq_Yjnu8DRu_mYwSBnCR2QPthd0rU/edit?usp=sharing"",""ศูนย์ยกเว้นโฉนด!D23"")"),9556)</f>
        <v>9556</v>
      </c>
      <c r="K345" s="230">
        <f ca="1">IF(I345&gt;0,J345*100/I345,0)</f>
        <v>188.85375494071147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IFERROR(__xludf.DUMMYFUNCTION("IMPORTRANGE(""https://docs.google.com/spreadsheets/d/1eHaY18a8A9IcSdp1K8H6x8fbOy06t2VsZHhMHf-1x7Y/edit?usp=sharing"",""แผน!EL23"")"),5)</f>
        <v>5</v>
      </c>
      <c r="J347" s="189">
        <f ca="1">IFERROR(__xludf.DUMMYFUNCTION("IMPORTRANGE(""https://docs.google.com/spreadsheets/d/1awYsYK3VOup2i3Pq_Yjnu8DRu_mYwSBnCR2QPthd0rU/edit?usp=sharing"",""ศูนย์รวม!E23"")"),5)</f>
        <v>5</v>
      </c>
      <c r="K347" s="230">
        <f ca="1">IF(I347&gt;0,J347*100/I347,0)</f>
        <v>100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IFERROR(__xludf.DUMMYFUNCTION("IMPORTRANGE(""https://docs.google.com/spreadsheets/d/1awYsYK3VOup2i3Pq_Yjnu8DRu_mYwSBnCR2QPthd0rU/edit?usp=sharing"",""ศูนย์ยกเว้นโฉนด!F23"")"),341)</f>
        <v>341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IFERROR(__xludf.DUMMYFUNCTION("IMPORTRANGE(""https://docs.google.com/spreadsheets/d/1awYsYK3VOup2i3Pq_Yjnu8DRu_mYwSBnCR2QPthd0rU/edit?usp=sharing"",""ศูนย์ยกเว้นโฉนด!G23"")"),0)</f>
        <v>0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IFERROR(__xludf.DUMMYFUNCTION("IMPORTRANGE(""https://docs.google.com/spreadsheets/d/1awYsYK3VOup2i3Pq_Yjnu8DRu_mYwSBnCR2QPthd0rU/edit?usp=sharing"",""ศูนย์ยกเว้นโฉนด!H23"")"),68)</f>
        <v>68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6145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IFERROR(__xludf.DUMMYFUNCTION("IMPORTRANGE(""https://docs.google.com/spreadsheets/d/1awYsYK3VOup2i3Pq_Yjnu8DRu_mYwSBnCR2QPthd0rU/edit?usp=sharing"",""โฉนดM3!G23"")"),2886)</f>
        <v>2886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IFERROR(__xludf.DUMMYFUNCTION("IMPORTRANGE(""https://docs.google.com/spreadsheets/d/1awYsYK3VOup2i3Pq_Yjnu8DRu_mYwSBnCR2QPthd0rU/edit?usp=sharing"",""โฉนดM3!H23"")"),3259)</f>
        <v>3259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1188345</v>
      </c>
      <c r="M357" s="515">
        <f t="shared" ca="1" si="229"/>
        <v>1188345</v>
      </c>
      <c r="N357" s="515">
        <f t="shared" ca="1" si="229"/>
        <v>434713</v>
      </c>
      <c r="O357" s="515">
        <f t="shared" ref="O357:O365" ca="1" si="230">IF(L357&gt;0,N357*100/L357,0)</f>
        <v>36.581379986451743</v>
      </c>
      <c r="P357" s="515">
        <f t="shared" ref="P357:P365" ca="1" si="231">IF(M357&gt;0,N357*100/M357,0)</f>
        <v>36.581379986451743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1188345</v>
      </c>
      <c r="M359" s="230">
        <f t="shared" ca="1" si="235"/>
        <v>1188345</v>
      </c>
      <c r="N359" s="230">
        <f t="shared" ca="1" si="235"/>
        <v>434713</v>
      </c>
      <c r="O359" s="230">
        <f t="shared" ca="1" si="230"/>
        <v>36.581379986451743</v>
      </c>
      <c r="P359" s="230">
        <f t="shared" ca="1" si="231"/>
        <v>36.581379986451743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1188345</v>
      </c>
      <c r="M360" s="230">
        <f t="shared" ca="1" si="237"/>
        <v>1188345</v>
      </c>
      <c r="N360" s="230">
        <f t="shared" ca="1" si="237"/>
        <v>434713</v>
      </c>
      <c r="O360" s="230">
        <f t="shared" ca="1" si="230"/>
        <v>36.581379986451743</v>
      </c>
      <c r="P360" s="230">
        <f t="shared" ca="1" si="231"/>
        <v>36.581379986451743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IFERROR(__xludf.DUMMYFUNCTION("IMPORTRANGE(""https://docs.google.com/spreadsheets/d/1-uDff_7J0KD5mKrp0Vvzr7lt3OU09vwQwhkpOPPYv2Y/edit?usp=sharing"",""งบพรบ!FC23"")"),1188345)</f>
        <v>1188345</v>
      </c>
      <c r="M362" s="230">
        <f ca="1">IFERROR(__xludf.DUMMYFUNCTION("IMPORTRANGE(""https://docs.google.com/spreadsheets/d/1-uDff_7J0KD5mKrp0Vvzr7lt3OU09vwQwhkpOPPYv2Y/edit?usp=sharing"",""งบพรบ!FH23"")"),1188345)</f>
        <v>1188345</v>
      </c>
      <c r="N362" s="230">
        <f ca="1">IFERROR(__xludf.DUMMYFUNCTION("IMPORTRANGE(""https://docs.google.com/spreadsheets/d/1-uDff_7J0KD5mKrp0Vvzr7lt3OU09vwQwhkpOPPYv2Y/edit?usp=sharing"",""งบพรบ!FJ23"")"),434713)</f>
        <v>434713</v>
      </c>
      <c r="O362" s="230">
        <f t="shared" ca="1" si="230"/>
        <v>36.581379986451743</v>
      </c>
      <c r="P362" s="230">
        <f t="shared" ca="1" si="231"/>
        <v>36.581379986451743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IFERROR(__xludf.DUMMYFUNCTION("IMPORTRANGE(""https://docs.google.com/spreadsheets/d/1-uDff_7J0KD5mKrp0Vvzr7lt3OU09vwQwhkpOPPYv2Y/edit?usp=sharing"",""งบพรบ!FF23"")"),0)</f>
        <v>0</v>
      </c>
      <c r="M365" s="230">
        <f ca="1">IFERROR(__xludf.DUMMYFUNCTION("IMPORTRANGE(""https://docs.google.com/spreadsheets/d/1-uDff_7J0KD5mKrp0Vvzr7lt3OU09vwQwhkpOPPYv2Y/edit?usp=sharing"",""งบพรบ!FI23"")"),0)</f>
        <v>0</v>
      </c>
      <c r="N365" s="230">
        <f ca="1">IFERROR(__xludf.DUMMYFUNCTION("IMPORTRANGE(""https://docs.google.com/spreadsheets/d/1-uDff_7J0KD5mKrp0Vvzr7lt3OU09vwQwhkpOPPYv2Y/edit?usp=sharing"",""งบพรบ!FK23"")"),0)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1095</v>
      </c>
      <c r="J366" s="313">
        <f t="shared" ca="1" si="241"/>
        <v>133</v>
      </c>
      <c r="K366" s="314">
        <f ca="1">IF(I366&gt;0,J366*100/I366,0)</f>
        <v>12.146118721461187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IFERROR(__xludf.DUMMYFUNCTION("IMPORTRANGE(""https://docs.google.com/spreadsheets/d/1tdoBKaGub7dwA3U6UFTqxio9LNnvDCQjHKmttSEBsFQ/edit?usp=sharing"",""จัดที่ดิน!AB23"")"),127)</f>
        <v>127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IFERROR(__xludf.DUMMYFUNCTION("IMPORTRANGE(""https://docs.google.com/spreadsheets/d/1eHaY18a8A9IcSdp1K8H6x8fbOy06t2VsZHhMHf-1x7Y/edit?usp=sharing"",""แผน!EW23"")"),8200)</f>
        <v>8200</v>
      </c>
      <c r="J369" s="646">
        <f ca="1">IFERROR(__xludf.DUMMYFUNCTION("IMPORTRANGE(""https://docs.google.com/spreadsheets/d/1tdoBKaGub7dwA3U6UFTqxio9LNnvDCQjHKmttSEBsFQ/edit?usp=sharing"",""จัดที่ดิน!AC23"")"),1541.13999999999)</f>
        <v>1541.1399999999901</v>
      </c>
      <c r="K369" s="230">
        <f t="shared" ca="1" si="242"/>
        <v>18.794390243902317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IFERROR(__xludf.DUMMYFUNCTION("IMPORTRANGE(""https://docs.google.com/spreadsheets/d/1eHaY18a8A9IcSdp1K8H6x8fbOy06t2VsZHhMHf-1x7Y/edit?usp=sharing"",""แผน!EX23"")"),1490)</f>
        <v>1490</v>
      </c>
      <c r="J370" s="189">
        <f ca="1">IFERROR(__xludf.DUMMYFUNCTION("IMPORTRANGE(""https://docs.google.com/spreadsheets/d/1tdoBKaGub7dwA3U6UFTqxio9LNnvDCQjHKmttSEBsFQ/edit?usp=sharing"",""จัดที่ดิน!AD23"")"),213)</f>
        <v>213</v>
      </c>
      <c r="K370" s="230">
        <f t="shared" ca="1" si="242"/>
        <v>14.295302013422818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IFERROR(__xludf.DUMMYFUNCTION("IMPORTRANGE(""https://docs.google.com/spreadsheets/d/1tdoBKaGub7dwA3U6UFTqxio9LNnvDCQjHKmttSEBsFQ/edit?usp=sharing"",""จัดที่ดิน!AE23"")"),3322.64999999999)</f>
        <v>3322.6499999999901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IFERROR(__xludf.DUMMYFUNCTION("IMPORTRANGE(""https://docs.google.com/spreadsheets/d/1eHaY18a8A9IcSdp1K8H6x8fbOy06t2VsZHhMHf-1x7Y/edit?usp=sharing"",""แผน!EY23"")"),1095)</f>
        <v>1095</v>
      </c>
      <c r="J372" s="189">
        <f ca="1">IFERROR(__xludf.DUMMYFUNCTION("IMPORTRANGE(""https://docs.google.com/spreadsheets/d/1tdoBKaGub7dwA3U6UFTqxio9LNnvDCQjHKmttSEBsFQ/edit?usp=sharing"",""จัดที่ดิน!AF23"")"),133)</f>
        <v>133</v>
      </c>
      <c r="K372" s="230">
        <f t="shared" ca="1" si="242"/>
        <v>12.146118721461187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IFERROR(__xludf.DUMMYFUNCTION("IMPORTRANGE(""https://docs.google.com/spreadsheets/d/1tdoBKaGub7dwA3U6UFTqxio9LNnvDCQjHKmttSEBsFQ/edit?usp=sharing"",""จัดที่ดิน!AG23"")"),2338.12999999999)</f>
        <v>2338.1299999999901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hidden="1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I386</f>
        <v>0</v>
      </c>
      <c r="J375" s="654">
        <f t="shared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hidden="1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hidden="1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IFERROR(__xludf.DUMMYFUNCTION("IMPORTRANGE(""https://docs.google.com/spreadsheets/d/1ItG2mGa2ceCfYo0BwxsXqNm01IGEUdYcSSLTEv9YCik/edit?usp=sharing"",""เบิกจ่ายกองทุน!AY23"")"),0)</f>
        <v>0</v>
      </c>
      <c r="R381" s="230">
        <f ca="1">IFERROR(__xludf.DUMMYFUNCTION("IMPORTRANGE(""https://docs.google.com/spreadsheets/d/1ItG2mGa2ceCfYo0BwxsXqNm01IGEUdYcSSLTEv9YCik/edit?usp=sharing"",""เบิกจ่ายกองทุน!AZ23"")"),0)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IFERROR(__xludf.DUMMYFUNCTION("IMPORTRANGE(""https://docs.google.com/spreadsheets/d/1ItG2mGa2ceCfYo0BwxsXqNm01IGEUdYcSSLTEv9YCik/edit?usp=sharing"",""เบิกจ่ายกองทุน!BA23"")"),0)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hidden="1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hidden="1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hidden="1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f ca="1">IFERROR(__xludf.DUMMYFUNCTION("IMPORTRANGE(""https://docs.google.com/spreadsheets/d/1eHaY18a8A9IcSdp1K8H6x8fbOy06t2VsZHhMHf-1x7Y/edit?usp=sharing"",""แผน!JQ23"")"),0)</f>
        <v>0</v>
      </c>
      <c r="J386" s="189">
        <v>0</v>
      </c>
      <c r="K386" s="230">
        <f t="shared" ref="K386:K389" ca="1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hidden="1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IFERROR(__xludf.DUMMYFUNCTION("IMPORTRANGE(""https://docs.google.com/spreadsheets/d/1eHaY18a8A9IcSdp1K8H6x8fbOy06t2VsZHhMHf-1x7Y/edit?usp=sharing"",""แผน!JQ23"")"),0)</f>
        <v>0</v>
      </c>
      <c r="J387" s="189"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hidden="1" x14ac:dyDescent="0.25">
      <c r="A388" s="156"/>
      <c r="B388" s="156"/>
      <c r="C388" s="156"/>
      <c r="D388" s="156"/>
      <c r="E388" s="442" t="s">
        <v>155</v>
      </c>
      <c r="F388" s="156"/>
      <c r="G388" s="181"/>
      <c r="H388" s="155" t="s">
        <v>34</v>
      </c>
      <c r="I388" s="444">
        <v>0</v>
      </c>
      <c r="J388" s="444">
        <v>0</v>
      </c>
      <c r="K388" s="80">
        <f t="shared" si="256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hidden="1" x14ac:dyDescent="0.25">
      <c r="A389" s="156"/>
      <c r="B389" s="156"/>
      <c r="C389" s="156"/>
      <c r="D389" s="156"/>
      <c r="E389" s="156"/>
      <c r="F389" s="156"/>
      <c r="G389" s="181"/>
      <c r="H389" s="155" t="s">
        <v>46</v>
      </c>
      <c r="I389" s="444">
        <v>0</v>
      </c>
      <c r="J389" s="444">
        <v>0</v>
      </c>
      <c r="K389" s="80">
        <f t="shared" si="256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IFERROR(__xludf.DUMMYFUNCTION("IMPORTRANGE(""https://docs.google.com/spreadsheets/d/1ItG2mGa2ceCfYo0BwxsXqNm01IGEUdYcSSLTEv9YCik/edit?usp=sharing"",""เบิกจ่ายกองทุน!BH23"")"),0)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IFERROR(__xludf.DUMMYFUNCTION("IMPORTRANGE(""https://docs.google.com/spreadsheets/d/1ItG2mGa2ceCfYo0BwxsXqNm01IGEUdYcSSLTEv9YCik/edit?usp=sharing"",""เบิกจ่ายกองทุน!BI23"")"),0)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IFERROR(__xludf.DUMMYFUNCTION("IMPORTRANGE(""https://docs.google.com/spreadsheets/d/1ItG2mGa2ceCfYo0BwxsXqNm01IGEUdYcSSLTEv9YCik/edit?usp=sharing"",""เบิกจ่ายกองทุน!BJ23"")"),0)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IFERROR(__xludf.DUMMYFUNCTION("IMPORTRANGE(""https://docs.google.com/spreadsheets/d/1eHaY18a8A9IcSdp1K8H6x8fbOy06t2VsZHhMHf-1x7Y/edit?usp=sharing"",""แผน!HJ23"")"),0)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IFERROR(__xludf.DUMMYFUNCTION("IMPORTRANGE(""https://docs.google.com/spreadsheets/d/1eHaY18a8A9IcSdp1K8H6x8fbOy06t2VsZHhMHf-1x7Y/edit?usp=sharing"",""แผน!HK23"")"),0)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IFERROR(__xludf.DUMMYFUNCTION("IMPORTRANGE(""https://docs.google.com/spreadsheets/d/1eHaY18a8A9IcSdp1K8H6x8fbOy06t2VsZHhMHf-1x7Y/edit?usp=sharing"",""แผน!HJ23"")"),0)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IFERROR(__xludf.DUMMYFUNCTION("IMPORTRANGE(""https://docs.google.com/spreadsheets/d/1eHaY18a8A9IcSdp1K8H6x8fbOy06t2VsZHhMHf-1x7Y/edit?usp=sharing"",""แผน!HK23"")"),0)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IFERROR(__xludf.DUMMYFUNCTION("IMPORTRANGE(""https://docs.google.com/spreadsheets/d/1eHaY18a8A9IcSdp1K8H6x8fbOy06t2VsZHhMHf-1x7Y/edit?usp=sharing"",""แผน!HJ23"")"),0)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IFERROR(__xludf.DUMMYFUNCTION("IMPORTRANGE(""https://docs.google.com/spreadsheets/d/1eHaY18a8A9IcSdp1K8H6x8fbOy06t2VsZHhMHf-1x7Y/edit?usp=sharing"",""แผน!HK23"")"),0)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IFERROR(__xludf.DUMMYFUNCTION("IMPORTRANGE(""https://docs.google.com/spreadsheets/d/1eHaY18a8A9IcSdp1K8H6x8fbOy06t2VsZHhMHf-1x7Y/edit?usp=sharing"",""แผน!HL23"")"),0)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IFERROR(__xludf.DUMMYFUNCTION("IMPORTRANGE(""https://docs.google.com/spreadsheets/d/1eHaY18a8A9IcSdp1K8H6x8fbOy06t2VsZHhMHf-1x7Y/edit?usp=sharing"",""แผน!HM23"")"),0)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IFERROR(__xludf.DUMMYFUNCTION("IMPORTRANGE(""https://docs.google.com/spreadsheets/d/1eHaY18a8A9IcSdp1K8H6x8fbOy06t2VsZHhMHf-1x7Y/edit?usp=sharing"",""แผน!HN23"")"),0)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IFERROR(__xludf.DUMMYFUNCTION("IMPORTRANGE(""https://docs.google.com/spreadsheets/d/1eHaY18a8A9IcSdp1K8H6x8fbOy06t2VsZHhMHf-1x7Y/edit?usp=sharing"",""แผน!HO23"")"),0)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IFERROR(__xludf.DUMMYFUNCTION("IMPORTRANGE(""https://docs.google.com/spreadsheets/d/1ItG2mGa2ceCfYo0BwxsXqNm01IGEUdYcSSLTEv9YCik/edit?usp=sharing"",""เบิกจ่ายกองทุน!X23"")"),0)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IFERROR(__xludf.DUMMYFUNCTION("IMPORTRANGE(""https://docs.google.com/spreadsheets/d/1ItG2mGa2ceCfYo0BwxsXqNm01IGEUdYcSSLTEv9YCik/edit?usp=sharing"",""เบิกจ่ายกองทุน!Y23"")"),0)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IFERROR(__xludf.DUMMYFUNCTION("IMPORTRANGE(""https://docs.google.com/spreadsheets/d/1ItG2mGa2ceCfYo0BwxsXqNm01IGEUdYcSSLTEv9YCik/edit?usp=sharing"",""เบิกจ่ายกองทุน!Z23"")"),0)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IFERROR(__xludf.DUMMYFUNCTION("IMPORTRANGE(""https://docs.google.com/spreadsheets/d/1eHaY18a8A9IcSdp1K8H6x8fbOy06t2VsZHhMHf-1x7Y/edit?usp=sharing"",""แผน!GX23"")"),0)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IFERROR(__xludf.DUMMYFUNCTION("IMPORTRANGE(""https://docs.google.com/spreadsheets/d/1eHaY18a8A9IcSdp1K8H6x8fbOy06t2VsZHhMHf-1x7Y/edit?usp=sharing"",""แผน!GY23"")"),0)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IFERROR(__xludf.DUMMYFUNCTION("IMPORTRANGE(""https://docs.google.com/spreadsheets/d/1eHaY18a8A9IcSdp1K8H6x8fbOy06t2VsZHhMHf-1x7Y/edit?usp=sharing"",""แผน!GZ23"")"),0)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IFERROR(__xludf.DUMMYFUNCTION("IMPORTRANGE(""https://docs.google.com/spreadsheets/d/1eHaY18a8A9IcSdp1K8H6x8fbOy06t2VsZHhMHf-1x7Y/edit?usp=sharing"",""แผน!HA23"")"),0)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IFERROR(__xludf.DUMMYFUNCTION("IMPORTRANGE(""https://docs.google.com/spreadsheets/d/1eHaY18a8A9IcSdp1K8H6x8fbOy06t2VsZHhMHf-1x7Y/edit?usp=sharing"",""แผน!HB23"")"),0)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IFERROR(__xludf.DUMMYFUNCTION("IMPORTRANGE(""https://docs.google.com/spreadsheets/d/1eHaY18a8A9IcSdp1K8H6x8fbOy06t2VsZHhMHf-1x7Y/edit?usp=sharing"",""แผน!HC23"")"),0)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IFERROR(__xludf.DUMMYFUNCTION("IMPORTRANGE(""https://docs.google.com/spreadsheets/d/1-uDff_7J0KD5mKrp0Vvzr7lt3OU09vwQwhkpOPPYv2Y/edit?usp=sharing"",""งบพรบ!FM23"")"),0)</f>
        <v>0</v>
      </c>
      <c r="M519" s="230">
        <f ca="1">IFERROR(__xludf.DUMMYFUNCTION("IMPORTRANGE(""https://docs.google.com/spreadsheets/d/1-uDff_7J0KD5mKrp0Vvzr7lt3OU09vwQwhkpOPPYv2Y/edit?usp=sharing"",""งบพรบ!FR23"")"),0)</f>
        <v>0</v>
      </c>
      <c r="N519" s="230">
        <f ca="1">IFERROR(__xludf.DUMMYFUNCTION("IMPORTRANGE(""https://docs.google.com/spreadsheets/d/1-uDff_7J0KD5mKrp0Vvzr7lt3OU09vwQwhkpOPPYv2Y/edit?usp=sharing"",""งบพรบ!FT23"")"),0)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IFERROR(__xludf.DUMMYFUNCTION("IMPORTRANGE(""https://docs.google.com/spreadsheets/d/1-uDff_7J0KD5mKrp0Vvzr7lt3OU09vwQwhkpOPPYv2Y/edit?usp=sharing"",""งบพรบ!FP23"")"),0)</f>
        <v>0</v>
      </c>
      <c r="M522" s="230">
        <f ca="1">IFERROR(__xludf.DUMMYFUNCTION("IMPORTRANGE(""https://docs.google.com/spreadsheets/d/1-uDff_7J0KD5mKrp0Vvzr7lt3OU09vwQwhkpOPPYv2Y/edit?usp=sharing"",""งบพรบ!FS23"")"),0)</f>
        <v>0</v>
      </c>
      <c r="N522" s="230">
        <f ca="1">IFERROR(__xludf.DUMMYFUNCTION("IMPORTRANGE(""https://docs.google.com/spreadsheets/d/1-uDff_7J0KD5mKrp0Vvzr7lt3OU09vwQwhkpOPPYv2Y/edit?usp=sharing"",""งบพรบ!FU23"")"),0)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1875</v>
      </c>
      <c r="R617" s="515">
        <f t="shared" ca="1" si="384"/>
        <v>1875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1875</v>
      </c>
      <c r="R619" s="230">
        <f t="shared" ca="1" si="388"/>
        <v>1875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1875</v>
      </c>
      <c r="R620" s="230">
        <f t="shared" ca="1" si="390"/>
        <v>1875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IFERROR(__xludf.DUMMYFUNCTION("IMPORTRANGE(""https://docs.google.com/spreadsheets/d/1ItG2mGa2ceCfYo0BwxsXqNm01IGEUdYcSSLTEv9YCik/edit?usp=sharing"",""เบิกจ่ายกองทุน!F23"")"),1875)</f>
        <v>1875</v>
      </c>
      <c r="R622" s="230">
        <f ca="1">IFERROR(__xludf.DUMMYFUNCTION("IMPORTRANGE(""https://docs.google.com/spreadsheets/d/1ItG2mGa2ceCfYo0BwxsXqNm01IGEUdYcSSLTEv9YCik/edit?usp=sharing"",""เบิกจ่ายกองทุน!G23"")"),1875)</f>
        <v>1875</v>
      </c>
      <c r="S622" s="230">
        <f ca="1">IFERROR(__xludf.DUMMYFUNCTION("IMPORTRANGE(""https://docs.google.com/spreadsheets/d/1ItG2mGa2ceCfYo0BwxsXqNm01IGEUdYcSSLTEv9YCik/edit?usp=sharing"",""เบิกจ่ายกองทุน!H23"")"),0)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IFERROR(__xludf.DUMMYFUNCTION("IMPORTRANGE(""https://docs.google.com/spreadsheets/d/1eHaY18a8A9IcSdp1K8H6x8fbOy06t2VsZHhMHf-1x7Y/edit?usp=sharing"",""แผน!ID23"")"),0)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IFERROR(__xludf.DUMMYFUNCTION("IMPORTRANGE(""https://docs.google.com/spreadsheets/d/1eHaY18a8A9IcSdp1K8H6x8fbOy06t2VsZHhMHf-1x7Y/edit?usp=sharing"",""แผน!IC23"")"),1)</f>
        <v>1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IFERROR(__xludf.DUMMYFUNCTION("IMPORTRANGE(""https://docs.google.com/spreadsheets/d/1eHaY18a8A9IcSdp1K8H6x8fbOy06t2VsZHhMHf-1x7Y/edit?usp=sharing"",""แผน!IC23"")"),1)</f>
        <v>1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IFERROR(__xludf.DUMMYFUNCTION("IMPORTRANGE(""https://docs.google.com/spreadsheets/d/1eHaY18a8A9IcSdp1K8H6x8fbOy06t2VsZHhMHf-1x7Y/edit?usp=sharing"",""แผน!IE23"")"),0)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22120</v>
      </c>
      <c r="R643" s="515">
        <f t="shared" ca="1" si="398"/>
        <v>22120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22120</v>
      </c>
      <c r="R645" s="230">
        <f t="shared" ca="1" si="402"/>
        <v>22120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22120</v>
      </c>
      <c r="R646" s="230">
        <f t="shared" ca="1" si="404"/>
        <v>22120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8" s="230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8" s="230">
        <f ca="1">IFERROR(__xludf.DUMMYFUNCTION("IMPORTRANGE(""https://docs.google.com/spreadsheets/d/1ItG2mGa2ceCfYo0BwxsXqNm01IGEUdYcSSLTEv9YCik/edit?usp=sharing"",""เบิกจ่ายกองทุน!K23"")"),0)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IFERROR(__xludf.DUMMYFUNCTION("IMPORTRANGE(""https://docs.google.com/spreadsheets/d/1eHaY18a8A9IcSdp1K8H6x8fbOy06t2VsZHhMHf-1x7Y/edit?usp=sharing"",""แผน!IF23"")"),0)</f>
        <v>0</v>
      </c>
      <c r="J653" s="189">
        <f ca="1">IFERROR(__xludf.DUMMYFUNCTION("IMPORTRANGE(""https://docs.google.com/spreadsheets/d/1tdoBKaGub7dwA3U6UFTqxio9LNnvDCQjHKmttSEBsFQ/edit?usp=sharing"",""จัดที่ดิน!AU23"")"),0)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IFERROR(__xludf.DUMMYFUNCTION("IMPORTRANGE(""https://docs.google.com/spreadsheets/d/1eHaY18a8A9IcSdp1K8H6x8fbOy06t2VsZHhMHf-1x7Y/edit?usp=sharing"",""แผน!IG23"")"),0)</f>
        <v>0</v>
      </c>
      <c r="J654" s="189">
        <f ca="1">IFERROR(__xludf.DUMMYFUNCTION("IMPORTRANGE(""https://docs.google.com/spreadsheets/d/1tdoBKaGub7dwA3U6UFTqxio9LNnvDCQjHKmttSEBsFQ/edit?usp=sharing"",""จัดที่ดิน!AW23"")"),0)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IFERROR(__xludf.DUMMYFUNCTION("IMPORTRANGE(""https://docs.google.com/spreadsheets/d/1eHaY18a8A9IcSdp1K8H6x8fbOy06t2VsZHhMHf-1x7Y/edit?usp=sharing"",""แผน!IH23"")"),0)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IFERROR(__xludf.DUMMYFUNCTION("IMPORTRANGE(""https://docs.google.com/spreadsheets/d/1eHaY18a8A9IcSdp1K8H6x8fbOy06t2VsZHhMHf-1x7Y/edit?usp=sharing"",""แผน!II23"")"),0)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IFERROR(__xludf.DUMMYFUNCTION("IMPORTRANGE(""https://docs.google.com/spreadsheets/d/1eHaY18a8A9IcSdp1K8H6x8fbOy06t2VsZHhMHf-1x7Y/edit?usp=sharing"",""แผน!IJ23"")"),0)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IFERROR(__xludf.DUMMYFUNCTION("IMPORTRANGE(""https://docs.google.com/spreadsheets/d/1eHaY18a8A9IcSdp1K8H6x8fbOy06t2VsZHhMHf-1x7Y/edit?usp=sharing"",""แผน!IK23"")"),522)</f>
        <v>522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IFERROR(__xludf.DUMMYFUNCTION("IMPORTRANGE(""https://docs.google.com/spreadsheets/d/1tdoBKaGub7dwA3U6UFTqxio9LNnvDCQjHKmttSEBsFQ/edit?usp=sharing"",""จัดที่ดิน!AY23"")"),0)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IFERROR(__xludf.DUMMYFUNCTION("IMPORTRANGE(""https://docs.google.com/spreadsheets/d/1tdoBKaGub7dwA3U6UFTqxio9LNnvDCQjHKmttSEBsFQ/edit?usp=sharing"",""จัดที่ดิน!AZ23"")"),0)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IFERROR(__xludf.DUMMYFUNCTION("IMPORTRANGE(""https://docs.google.com/spreadsheets/d/1eHaY18a8A9IcSdp1K8H6x8fbOy06t2VsZHhMHf-1x7Y/edit?usp=sharing"",""แผน!IL23"")"),0)</f>
        <v>0</v>
      </c>
      <c r="J674" s="189">
        <f ca="1">IFERROR(__xludf.DUMMYFUNCTION("IMPORTRANGE(""https://docs.google.com/spreadsheets/d/1tdoBKaGub7dwA3U6UFTqxio9LNnvDCQjHKmttSEBsFQ/edit?usp=sharing"",""จัดที่ดิน!BA23"")"),0)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IFERROR(__xludf.DUMMYFUNCTION("IMPORTRANGE(""https://docs.google.com/spreadsheets/d/1eHaY18a8A9IcSdp1K8H6x8fbOy06t2VsZHhMHf-1x7Y/edit?usp=sharing"",""แผน!IM23"")"),2)</f>
        <v>2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IFERROR(__xludf.DUMMYFUNCTION("IMPORTRANGE(""https://docs.google.com/spreadsheets/d/1eHaY18a8A9IcSdp1K8H6x8fbOy06t2VsZHhMHf-1x7Y/edit?usp=sharing"",""แผน!IN23"")"),18)</f>
        <v>18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IFERROR(__xludf.DUMMYFUNCTION("IMPORTRANGE(""https://docs.google.com/spreadsheets/d/1eHaY18a8A9IcSdp1K8H6x8fbOy06t2VsZHhMHf-1x7Y/edit?usp=sharing"",""แผน!IO23"")"),2)</f>
        <v>2</v>
      </c>
      <c r="J677" s="189">
        <f ca="1">IFERROR(__xludf.DUMMYFUNCTION("IMPORTRANGE(""https://docs.google.com/spreadsheets/d/1tdoBKaGub7dwA3U6UFTqxio9LNnvDCQjHKmttSEBsFQ/edit?usp=sharing"",""จัดที่ดิน!BF23"")"),0)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IFERROR(__xludf.DUMMYFUNCTION("IMPORTRANGE(""https://docs.google.com/spreadsheets/d/1tdoBKaGub7dwA3U6UFTqxio9LNnvDCQjHKmttSEBsFQ/edit?usp=sharing"",""จัดที่ดิน!BG23"")"),0)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IFERROR(__xludf.DUMMYFUNCTION("IMPORTRANGE(""https://docs.google.com/spreadsheets/d/1eHaY18a8A9IcSdp1K8H6x8fbOy06t2VsZHhMHf-1x7Y/edit?usp=sharing"",""แผน!IP23"")"),18)</f>
        <v>18</v>
      </c>
      <c r="J679" s="189">
        <f ca="1">IFERROR(__xludf.DUMMYFUNCTION("IMPORTRANGE(""https://docs.google.com/spreadsheets/d/1tdoBKaGub7dwA3U6UFTqxio9LNnvDCQjHKmttSEBsFQ/edit?usp=sharing"",""จัดที่ดิน!BH23"")"),0)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IFERROR(__xludf.DUMMYFUNCTION("IMPORTRANGE(""https://docs.google.com/spreadsheets/d/1eHaY18a8A9IcSdp1K8H6x8fbOy06t2VsZHhMHf-1x7Y/edit?usp=sharing"",""แผน!IQ23"")"),0)</f>
        <v>0</v>
      </c>
      <c r="J680" s="189">
        <f ca="1">IFERROR(__xludf.DUMMYFUNCTION("IMPORTRANGE(""https://docs.google.com/spreadsheets/d/1tdoBKaGub7dwA3U6UFTqxio9LNnvDCQjHKmttSEBsFQ/edit?usp=sharing"",""จัดที่ดิน!BK23"")"),0)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IFERROR(__xludf.DUMMYFUNCTION("IMPORTRANGE(""https://docs.google.com/spreadsheets/d/1tdoBKaGub7dwA3U6UFTqxio9LNnvDCQjHKmttSEBsFQ/edit?usp=sharing"",""จัดที่ดิน!BL23"")"),0)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IFERROR(__xludf.DUMMYFUNCTION("IMPORTRANGE(""https://docs.google.com/spreadsheets/d/1eHaY18a8A9IcSdp1K8H6x8fbOy06t2VsZHhMHf-1x7Y/edit?usp=sharing"",""แผน!IR23"")"),0)</f>
        <v>0</v>
      </c>
      <c r="J682" s="189">
        <f ca="1">IFERROR(__xludf.DUMMYFUNCTION("IMPORTRANGE(""https://docs.google.com/spreadsheets/d/1tdoBKaGub7dwA3U6UFTqxio9LNnvDCQjHKmttSEBsFQ/edit?usp=sharing"",""จัดที่ดิน!BM23"")"),0)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IFERROR(__xludf.DUMMYFUNCTION("IMPORTRANGE(""https://docs.google.com/spreadsheets/d/1eHaY18a8A9IcSdp1K8H6x8fbOy06t2VsZHhMHf-1x7Y/edit?usp=sharing"",""แผน!IS23"")"),0)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1">I708</f>
        <v>200</v>
      </c>
      <c r="J690" s="700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324340</v>
      </c>
      <c r="R691" s="515">
        <f t="shared" ca="1" si="415"/>
        <v>324340</v>
      </c>
      <c r="S691" s="515">
        <f t="shared" ca="1" si="415"/>
        <v>17440</v>
      </c>
      <c r="T691" s="515">
        <f t="shared" ref="T691:T699" ca="1" si="416">IF(Q691&gt;0,S691*100/Q691,0)</f>
        <v>5.3770734414503298</v>
      </c>
      <c r="U691" s="515">
        <f t="shared" ref="U691:U699" ca="1" si="417">IF(R691&gt;0,S691*100/R691,0)</f>
        <v>5.3770734414503298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324340</v>
      </c>
      <c r="R693" s="230">
        <f t="shared" ca="1" si="419"/>
        <v>324340</v>
      </c>
      <c r="S693" s="230">
        <f t="shared" ca="1" si="419"/>
        <v>17440</v>
      </c>
      <c r="T693" s="230">
        <f t="shared" ca="1" si="416"/>
        <v>5.3770734414503298</v>
      </c>
      <c r="U693" s="230">
        <f t="shared" ca="1" si="417"/>
        <v>5.3770734414503298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324340</v>
      </c>
      <c r="R694" s="230">
        <f t="shared" ca="1" si="421"/>
        <v>324340</v>
      </c>
      <c r="S694" s="230">
        <f t="shared" ca="1" si="421"/>
        <v>17440</v>
      </c>
      <c r="T694" s="230">
        <f t="shared" ca="1" si="416"/>
        <v>5.3770734414503298</v>
      </c>
      <c r="U694" s="230">
        <f t="shared" ca="1" si="417"/>
        <v>5.3770734414503298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6" s="230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6" s="230">
        <f ca="1">IFERROR(__xludf.DUMMYFUNCTION("IMPORTRANGE(""https://docs.google.com/spreadsheets/d/1ItG2mGa2ceCfYo0BwxsXqNm01IGEUdYcSSLTEv9YCik/edit?usp=sharing"",""เบิกจ่ายกองทุน!N23"")"),17440)</f>
        <v>17440</v>
      </c>
      <c r="T696" s="230">
        <f t="shared" ca="1" si="416"/>
        <v>5.3770734414503298</v>
      </c>
      <c r="U696" s="230">
        <f t="shared" ca="1" si="417"/>
        <v>5.3770734414503298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IFERROR(__xludf.DUMMYFUNCTION("IMPORTRANGE(""https://docs.google.com/spreadsheets/d/1eHaY18a8A9IcSdp1K8H6x8fbOy06t2VsZHhMHf-1x7Y/edit?usp=sharing"",""แผน!LC23"")"),0)</f>
        <v>0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204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IFERROR(__xludf.DUMMYFUNCTION("IMPORTRANGE(""https://docs.google.com/spreadsheets/d/1eHaY18a8A9IcSdp1K8H6x8fbOy06t2VsZHhMHf-1x7Y/edit?usp=sharing"",""แผน!LJ23"")"),200)</f>
        <v>200</v>
      </c>
      <c r="J704" s="189">
        <f ca="1">IFERROR(__xludf.DUMMYFUNCTION("IMPORTRANGE(""https://docs.google.com/spreadsheets/d/1tdoBKaGub7dwA3U6UFTqxio9LNnvDCQjHKmttSEBsFQ/edit?usp=sharing"",""จัดที่ดิน!AP23"")"),0)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IFERROR(__xludf.DUMMYFUNCTION("IMPORTRANGE(""https://docs.google.com/spreadsheets/d/1tdoBKaGub7dwA3U6UFTqxio9LNnvDCQjHKmttSEBsFQ/edit?usp=sharing"",""จัดที่ดิน!AQ23"")"),0)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IFERROR(__xludf.DUMMYFUNCTION("IMPORTRANGE(""https://docs.google.com/spreadsheets/d/1eHaY18a8A9IcSdp1K8H6x8fbOy06t2VsZHhMHf-1x7Y/edit?usp=sharing"",""แผน!LK23"")"),4)</f>
        <v>4</v>
      </c>
      <c r="J706" s="189">
        <f ca="1">IFERROR(__xludf.DUMMYFUNCTION("IMPORTRANGE(""https://docs.google.com/spreadsheets/d/1tdoBKaGub7dwA3U6UFTqxio9LNnvDCQjHKmttSEBsFQ/edit?usp=sharing"",""จัดที่ดิน!AR23"")"),0)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IFERROR(__xludf.DUMMYFUNCTION("IMPORTRANGE(""https://docs.google.com/spreadsheets/d/1tdoBKaGub7dwA3U6UFTqxio9LNnvDCQjHKmttSEBsFQ/edit?usp=sharing"",""จัดที่ดิน!AS23"")"),0)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IFERROR(__xludf.DUMMYFUNCTION("IMPORTRANGE(""https://docs.google.com/spreadsheets/d/1eHaY18a8A9IcSdp1K8H6x8fbOy06t2VsZHhMHf-1x7Y/edit?usp=sharing"",""แผน!LJ23"")"),200)</f>
        <v>200</v>
      </c>
      <c r="J708" s="189">
        <f ca="1">IFERROR(__xludf.DUMMYFUNCTION("IMPORTRANGE(""https://docs.google.com/spreadsheets/d/1tdoBKaGub7dwA3U6UFTqxio9LNnvDCQjHKmttSEBsFQ/edit?usp=sharing"",""จัดที่ดิน!BN23"")"),0)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IFERROR(__xludf.DUMMYFUNCTION("IMPORTRANGE(""https://docs.google.com/spreadsheets/d/1tdoBKaGub7dwA3U6UFTqxio9LNnvDCQjHKmttSEBsFQ/edit?usp=sharing"",""จัดที่ดิน!BO23"")"),0)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IFERROR(__xludf.DUMMYFUNCTION("IMPORTRANGE(""https://docs.google.com/spreadsheets/d/1eHaY18a8A9IcSdp1K8H6x8fbOy06t2VsZHhMHf-1x7Y/edit?usp=sharing"",""แผน!LK23"")"),4)</f>
        <v>4</v>
      </c>
      <c r="J710" s="189">
        <f ca="1">IFERROR(__xludf.DUMMYFUNCTION("IMPORTRANGE(""https://docs.google.com/spreadsheets/d/1tdoBKaGub7dwA3U6UFTqxio9LNnvDCQjHKmttSEBsFQ/edit?usp=sharing"",""จัดที่ดิน!BP23"")"),0)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IFERROR(__xludf.DUMMYFUNCTION("IMPORTRANGE(""https://docs.google.com/spreadsheets/d/1tdoBKaGub7dwA3U6UFTqxio9LNnvDCQjHKmttSEBsFQ/edit?usp=sharing"",""จัดที่ดิน!BQ23"")"),0)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IFERROR(__xludf.DUMMYFUNCTION("IMPORTRANGE(""https://docs.google.com/spreadsheets/d/1eHaY18a8A9IcSdp1K8H6x8fbOy06t2VsZHhMHf-1x7Y/edit?usp=sharing"",""แผน!GA23"")"),51)</f>
        <v>51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IFERROR(__xludf.DUMMYFUNCTION("IMPORTRANGE(""https://docs.google.com/spreadsheets/d/1eHaY18a8A9IcSdp1K8H6x8fbOy06t2VsZHhMHf-1x7Y/edit?usp=sharing"",""แผน!FZ23"")"),500)</f>
        <v>500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379090</v>
      </c>
      <c r="R729" s="515">
        <f t="shared" ca="1" si="442"/>
        <v>379090</v>
      </c>
      <c r="S729" s="515">
        <f t="shared" ca="1" si="442"/>
        <v>2940</v>
      </c>
      <c r="T729" s="515">
        <f t="shared" ref="T729:T737" ca="1" si="443">IF(Q729&gt;0,S729*100/Q729,0)</f>
        <v>0.77554142815690208</v>
      </c>
      <c r="U729" s="515">
        <f t="shared" ref="U729:U737" ca="1" si="444">IF(R729&gt;0,S729*100/R729,0)</f>
        <v>0.77554142815690208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379090</v>
      </c>
      <c r="R731" s="230">
        <f t="shared" ca="1" si="446"/>
        <v>379090</v>
      </c>
      <c r="S731" s="230">
        <f t="shared" ca="1" si="446"/>
        <v>2940</v>
      </c>
      <c r="T731" s="230">
        <f t="shared" ca="1" si="443"/>
        <v>0.77554142815690208</v>
      </c>
      <c r="U731" s="230">
        <f t="shared" ca="1" si="444"/>
        <v>0.77554142815690208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379090</v>
      </c>
      <c r="R732" s="230">
        <f t="shared" ca="1" si="448"/>
        <v>379090</v>
      </c>
      <c r="S732" s="230">
        <f t="shared" ca="1" si="448"/>
        <v>2940</v>
      </c>
      <c r="T732" s="230">
        <f t="shared" ca="1" si="443"/>
        <v>0.77554142815690208</v>
      </c>
      <c r="U732" s="230">
        <f t="shared" ca="1" si="444"/>
        <v>0.77554142815690208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4" s="230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4" s="230">
        <f ca="1">IFERROR(__xludf.DUMMYFUNCTION("IMPORTRANGE(""https://docs.google.com/spreadsheets/d/1ItG2mGa2ceCfYo0BwxsXqNm01IGEUdYcSSLTEv9YCik/edit?usp=sharing"",""เบิกจ่ายกองทุน!Q23"")"),2940)</f>
        <v>2940</v>
      </c>
      <c r="T734" s="230">
        <f t="shared" ca="1" si="443"/>
        <v>0.77554142815690208</v>
      </c>
      <c r="U734" s="230">
        <f t="shared" ca="1" si="444"/>
        <v>0.77554142815690208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IFERROR(__xludf.DUMMYFUNCTION("IMPORTRANGE(""https://docs.google.com/spreadsheets/d/1eHaY18a8A9IcSdp1K8H6x8fbOy06t2VsZHhMHf-1x7Y/edit?usp=sharing"",""แผน!GB23"")"),400)</f>
        <v>400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IFERROR(__xludf.DUMMYFUNCTION("IMPORTRANGE(""https://docs.google.com/spreadsheets/d/1eHaY18a8A9IcSdp1K8H6x8fbOy06t2VsZHhMHf-1x7Y/edit?usp=sharing"",""แผน!GC23"")"),40)</f>
        <v>40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IFERROR(__xludf.DUMMYFUNCTION("IMPORTRANGE(""https://docs.google.com/spreadsheets/d/1eHaY18a8A9IcSdp1K8H6x8fbOy06t2VsZHhMHf-1x7Y/edit?usp=sharing"",""แผน!GD23"")"),100)</f>
        <v>100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IFERROR(__xludf.DUMMYFUNCTION("IMPORTRANGE(""https://docs.google.com/spreadsheets/d/1eHaY18a8A9IcSdp1K8H6x8fbOy06t2VsZHhMHf-1x7Y/edit?usp=sharing"",""แผน!GE23"")"),10)</f>
        <v>10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IFERROR(__xludf.DUMMYFUNCTION("IMPORTRANGE(""https://docs.google.com/spreadsheets/d/1eHaY18a8A9IcSdp1K8H6x8fbOy06t2VsZHhMHf-1x7Y/edit?usp=sharing"",""แผน!GF23"")"),1)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IFERROR(__xludf.DUMMYFUNCTION("IMPORTRANGE(""https://docs.google.com/spreadsheets/d/1eHaY18a8A9IcSdp1K8H6x8fbOy06t2VsZHhMHf-1x7Y/edit?usp=sharing"",""แผน!GC23"")"),40)</f>
        <v>40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IFERROR(__xludf.DUMMYFUNCTION("IMPORTRANGE(""https://docs.google.com/spreadsheets/d/1eHaY18a8A9IcSdp1K8H6x8fbOy06t2VsZHhMHf-1x7Y/edit?usp=sharing"",""แผน!GE23"")"),10)</f>
        <v>10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79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406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790870</v>
      </c>
      <c r="R760" s="515">
        <f t="shared" ca="1" si="457"/>
        <v>790870</v>
      </c>
      <c r="S760" s="515">
        <f t="shared" ca="1" si="457"/>
        <v>14440</v>
      </c>
      <c r="T760" s="515">
        <f t="shared" ref="T760:T768" ca="1" si="458">IF(Q760&gt;0,S760*100/Q760,0)</f>
        <v>1.8258373689734091</v>
      </c>
      <c r="U760" s="515">
        <f t="shared" ref="U760:U768" ca="1" si="459">IF(R760&gt;0,S760*100/R760,0)</f>
        <v>1.8258373689734091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790870</v>
      </c>
      <c r="R762" s="230">
        <f t="shared" ca="1" si="461"/>
        <v>790870</v>
      </c>
      <c r="S762" s="230">
        <f t="shared" ca="1" si="461"/>
        <v>14440</v>
      </c>
      <c r="T762" s="230">
        <f t="shared" ca="1" si="458"/>
        <v>1.8258373689734091</v>
      </c>
      <c r="U762" s="230">
        <f t="shared" ca="1" si="459"/>
        <v>1.8258373689734091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790870</v>
      </c>
      <c r="R763" s="230">
        <f t="shared" ca="1" si="463"/>
        <v>790870</v>
      </c>
      <c r="S763" s="230">
        <f t="shared" ca="1" si="463"/>
        <v>14440</v>
      </c>
      <c r="T763" s="230">
        <f t="shared" ca="1" si="458"/>
        <v>1.8258373689734091</v>
      </c>
      <c r="U763" s="230">
        <f t="shared" ca="1" si="459"/>
        <v>1.8258373689734091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IFERROR(__xludf.DUMMYFUNCTION("IMPORTRANGE(""https://docs.google.com/spreadsheets/d/1ItG2mGa2ceCfYo0BwxsXqNm01IGEUdYcSSLTEv9YCik/edit?usp=sharing"",""เบิกจ่ายกองทุน!U23"")"),790870)</f>
        <v>790870</v>
      </c>
      <c r="R765" s="230">
        <f ca="1">IFERROR(__xludf.DUMMYFUNCTION("IMPORTRANGE(""https://docs.google.com/spreadsheets/d/1ItG2mGa2ceCfYo0BwxsXqNm01IGEUdYcSSLTEv9YCik/edit?usp=sharing"",""เบิกจ่ายกองทุน!V23"")"),790870)</f>
        <v>790870</v>
      </c>
      <c r="S765" s="230">
        <f ca="1">IFERROR(__xludf.DUMMYFUNCTION("IMPORTRANGE(""https://docs.google.com/spreadsheets/d/1ItG2mGa2ceCfYo0BwxsXqNm01IGEUdYcSSLTEv9YCik/edit?usp=sharing"",""เบิกจ่ายกองทุน!W23"")"),14440)</f>
        <v>14440</v>
      </c>
      <c r="T765" s="230">
        <f t="shared" ca="1" si="458"/>
        <v>1.8258373689734091</v>
      </c>
      <c r="U765" s="230">
        <f t="shared" ca="1" si="459"/>
        <v>1.8258373689734091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IFERROR(__xludf.DUMMYFUNCTION("IMPORTRANGE(""https://docs.google.com/spreadsheets/d/1eHaY18a8A9IcSdp1K8H6x8fbOy06t2VsZHhMHf-1x7Y/edit?usp=sharing"",""แผน!FI23"")"),0)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IFERROR(__xludf.DUMMYFUNCTION("IMPORTRANGE(""https://docs.google.com/spreadsheets/d/1eHaY18a8A9IcSdp1K8H6x8fbOy06t2VsZHhMHf-1x7Y/edit?usp=sharing"",""แผน!FQ23"")"),79)</f>
        <v>79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IFERROR(__xludf.DUMMYFUNCTION("IMPORTRANGE(""https://docs.google.com/spreadsheets/d/1eHaY18a8A9IcSdp1K8H6x8fbOy06t2VsZHhMHf-1x7Y/edit?usp=sharing"",""แผน!FR23"")"),406)</f>
        <v>406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IFERROR(__xludf.DUMMYFUNCTION("IMPORTRANGE(""https://docs.google.com/spreadsheets/d/1eHaY18a8A9IcSdp1K8H6x8fbOy06t2VsZHhMHf-1x7Y/edit?usp=sharing"",""แผน!FS23"")"),406)</f>
        <v>406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IFERROR(__xludf.DUMMYFUNCTION("IMPORTRANGE(""https://docs.google.com/spreadsheets/d/1eHaY18a8A9IcSdp1K8H6x8fbOy06t2VsZHhMHf-1x7Y/edit?usp=sharing"",""แผน!FT23"")"),79)</f>
        <v>79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IFERROR(__xludf.DUMMYFUNCTION("IMPORTRANGE(""https://docs.google.com/spreadsheets/d/10OvvATaaLtwErnr3qtWFcTmtbfpFEt5Bsqel9sXx0uE/edit?usp=sharing"",""งานกองทุน!D23"")"),13397134.05)</f>
        <v>13397134.050000001</v>
      </c>
      <c r="J778" s="189">
        <f ca="1">IFERROR(__xludf.DUMMYFUNCTION("IMPORTRANGE(""https://docs.google.com/spreadsheets/d/10OvvATaaLtwErnr3qtWFcTmtbfpFEt5Bsqel9sXx0uE/edit?usp=sharing"",""งานกองทุน!F23"")"),620324.74)</f>
        <v>620324.74</v>
      </c>
      <c r="K778" s="230">
        <f t="shared" ref="K778:K785" ca="1" si="466">IF(I778&gt;0,J778*100/I778,0)</f>
        <v>4.6302794141258889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IFERROR(__xludf.DUMMYFUNCTION("IMPORTRANGE(""https://docs.google.com/spreadsheets/d/10OvvATaaLtwErnr3qtWFcTmtbfpFEt5Bsqel9sXx0uE/edit?usp=sharing"",""งานกองทุน!C23"")"),431)</f>
        <v>431</v>
      </c>
      <c r="J779" s="189">
        <f ca="1">IFERROR(__xludf.DUMMYFUNCTION("IMPORTRANGE(""https://docs.google.com/spreadsheets/d/10OvvATaaLtwErnr3qtWFcTmtbfpFEt5Bsqel9sXx0uE/edit?usp=sharing"",""งานกองทุน!E23"")"),390)</f>
        <v>390</v>
      </c>
      <c r="K779" s="230">
        <f t="shared" ca="1" si="466"/>
        <v>90.487238979118331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89">
        <f ca="1">IFERROR(__xludf.DUMMYFUNCTION("IMPORTRANGE(""https://docs.google.com/spreadsheets/d/10OvvATaaLtwErnr3qtWFcTmtbfpFEt5Bsqel9sXx0uE/edit?usp=sharing"",""งานกองทุน!K23"")"),1241029.07)</f>
        <v>1241029.07</v>
      </c>
      <c r="K780" s="230">
        <f t="shared" ca="1" si="466"/>
        <v>4.1029321883093877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IFERROR(__xludf.DUMMYFUNCTION("IMPORTRANGE(""https://docs.google.com/spreadsheets/d/10OvvATaaLtwErnr3qtWFcTmtbfpFEt5Bsqel9sXx0uE/edit?usp=sharing"",""งานกองทุน!H23"")"),1110)</f>
        <v>1110</v>
      </c>
      <c r="J781" s="189">
        <f ca="1">IFERROR(__xludf.DUMMYFUNCTION("IMPORTRANGE(""https://docs.google.com/spreadsheets/d/10OvvATaaLtwErnr3qtWFcTmtbfpFEt5Bsqel9sXx0uE/edit?usp=sharing"",""งานกองทุน!J23"")"),129)</f>
        <v>129</v>
      </c>
      <c r="K781" s="230">
        <f t="shared" ca="1" si="466"/>
        <v>11.621621621621621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89">
        <f ca="1">IFERROR(__xludf.DUMMYFUNCTION("IMPORTRANGE(""https://docs.google.com/spreadsheets/d/10OvvATaaLtwErnr3qtWFcTmtbfpFEt5Bsqel9sXx0uE/edit?usp=sharing"",""งานกองทุน!P23"")"),130843.6)</f>
        <v>130843.6</v>
      </c>
      <c r="K782" s="230">
        <f t="shared" ca="1" si="466"/>
        <v>4.9073309208662153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IFERROR(__xludf.DUMMYFUNCTION("IMPORTRANGE(""https://docs.google.com/spreadsheets/d/10OvvATaaLtwErnr3qtWFcTmtbfpFEt5Bsqel9sXx0uE/edit?usp=sharing"",""งานกองทุน!M23"")"),131)</f>
        <v>131</v>
      </c>
      <c r="J783" s="189">
        <f ca="1">IFERROR(__xludf.DUMMYFUNCTION("IMPORTRANGE(""https://docs.google.com/spreadsheets/d/10OvvATaaLtwErnr3qtWFcTmtbfpFEt5Bsqel9sXx0uE/edit?usp=sharing"",""งานกองทุน!O23"")"),24)</f>
        <v>24</v>
      </c>
      <c r="K783" s="230">
        <f t="shared" ca="1" si="466"/>
        <v>18.320610687022899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IFERROR(__xludf.DUMMYFUNCTION("IMPORTRANGE(""https://docs.google.com/spreadsheets/d/10OvvATaaLtwErnr3qtWFcTmtbfpFEt5Bsqel9sXx0uE/edit?usp=sharing"",""งานกองทุน!S23"")"),14504000)</f>
        <v>14504000</v>
      </c>
      <c r="J784" s="189">
        <f ca="1">IFERROR(__xludf.DUMMYFUNCTION("IMPORTRANGE(""https://docs.google.com/spreadsheets/d/10OvvATaaLtwErnr3qtWFcTmtbfpFEt5Bsqel9sXx0uE/edit?usp=sharing"",""งานกองทุน!U23"")"),1606000)</f>
        <v>1606000</v>
      </c>
      <c r="K784" s="230">
        <f t="shared" ca="1" si="466"/>
        <v>11.07280750137893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IFERROR(__xludf.DUMMYFUNCTION("IMPORTRANGE(""https://docs.google.com/spreadsheets/d/10OvvATaaLtwErnr3qtWFcTmtbfpFEt5Bsqel9sXx0uE/edit?usp=sharing"",""งานกองทุน!R23"")"),518)</f>
        <v>518</v>
      </c>
      <c r="J785" s="194">
        <f ca="1">IFERROR(__xludf.DUMMYFUNCTION("IMPORTRANGE(""https://docs.google.com/spreadsheets/d/10OvvATaaLtwErnr3qtWFcTmtbfpFEt5Bsqel9sXx0uE/edit?usp=sharing"",""งานกองทุน!T23"")"),57)</f>
        <v>57</v>
      </c>
      <c r="K785" s="461">
        <f t="shared" ca="1" si="466"/>
        <v>11.003861003861005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D1FC-ABA0-46EB-94CE-CC186E4D690B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activeCell="A4" sqref="A4:H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325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1843895</v>
      </c>
      <c r="M19" s="474">
        <f t="shared" ca="1" si="0"/>
        <v>1941045</v>
      </c>
      <c r="N19" s="474">
        <f t="shared" ca="1" si="0"/>
        <v>1056426.49</v>
      </c>
      <c r="O19" s="474">
        <f t="shared" ref="O19:O27" ca="1" si="1">IF(L19&gt;0,N19*100/L19,0)</f>
        <v>57.293202161728296</v>
      </c>
      <c r="P19" s="474">
        <f t="shared" ref="P19:P27" ca="1" si="2">IF(M19&gt;0,N19*100/M19,0)</f>
        <v>54.425656798271035</v>
      </c>
      <c r="Q19" s="474">
        <f t="shared" ref="Q19:S19" ca="1" si="3">Q20+Q21</f>
        <v>2698768.39</v>
      </c>
      <c r="R19" s="474">
        <f t="shared" ca="1" si="3"/>
        <v>2636268</v>
      </c>
      <c r="S19" s="474">
        <f t="shared" ca="1" si="3"/>
        <v>0</v>
      </c>
      <c r="T19" s="474">
        <f t="shared" ref="T19:T27" ca="1" si="4">IF(Q19&gt;0,S19*100/Q19,0)</f>
        <v>0</v>
      </c>
      <c r="U19" s="474">
        <f t="shared" ref="U19:U27" ca="1" si="5">IF(R19&gt;0,S19*100/R19,0)</f>
        <v>0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1843895</v>
      </c>
      <c r="M21" s="480">
        <f t="shared" ca="1" si="6"/>
        <v>1941045</v>
      </c>
      <c r="N21" s="480">
        <f t="shared" ca="1" si="6"/>
        <v>1056426.49</v>
      </c>
      <c r="O21" s="480">
        <f t="shared" ca="1" si="1"/>
        <v>57.293202161728296</v>
      </c>
      <c r="P21" s="480">
        <f t="shared" ca="1" si="2"/>
        <v>54.425656798271035</v>
      </c>
      <c r="Q21" s="480">
        <f t="shared" ca="1" si="7"/>
        <v>2698768.39</v>
      </c>
      <c r="R21" s="480">
        <f t="shared" ca="1" si="7"/>
        <v>2636268</v>
      </c>
      <c r="S21" s="480">
        <f t="shared" ca="1" si="7"/>
        <v>0</v>
      </c>
      <c r="T21" s="480">
        <f t="shared" ca="1" si="4"/>
        <v>0</v>
      </c>
      <c r="U21" s="480">
        <f t="shared" ca="1" si="5"/>
        <v>0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1843895</v>
      </c>
      <c r="M22" s="230">
        <f t="shared" ca="1" si="8"/>
        <v>1941045</v>
      </c>
      <c r="N22" s="230">
        <f t="shared" ca="1" si="8"/>
        <v>1056426.49</v>
      </c>
      <c r="O22" s="230">
        <f t="shared" ca="1" si="1"/>
        <v>57.293202161728296</v>
      </c>
      <c r="P22" s="230">
        <f t="shared" ca="1" si="2"/>
        <v>54.425656798271035</v>
      </c>
      <c r="Q22" s="230">
        <f t="shared" ref="Q22:S22" ca="1" si="9">Q23+Q24</f>
        <v>2698768.39</v>
      </c>
      <c r="R22" s="230">
        <f t="shared" ca="1" si="9"/>
        <v>2636268</v>
      </c>
      <c r="S22" s="230">
        <f t="shared" ca="1" si="9"/>
        <v>0</v>
      </c>
      <c r="T22" s="230">
        <f t="shared" ca="1" si="4"/>
        <v>0</v>
      </c>
      <c r="U22" s="230">
        <f t="shared" ca="1" si="5"/>
        <v>0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1843895</v>
      </c>
      <c r="M24" s="230">
        <f t="shared" ca="1" si="10"/>
        <v>1941045</v>
      </c>
      <c r="N24" s="230">
        <f t="shared" ca="1" si="10"/>
        <v>1056426.49</v>
      </c>
      <c r="O24" s="230">
        <f t="shared" ca="1" si="1"/>
        <v>57.293202161728296</v>
      </c>
      <c r="P24" s="230">
        <f t="shared" ca="1" si="2"/>
        <v>54.425656798271035</v>
      </c>
      <c r="Q24" s="230">
        <f t="shared" ca="1" si="11"/>
        <v>2698768.39</v>
      </c>
      <c r="R24" s="230">
        <f t="shared" ca="1" si="11"/>
        <v>2636268</v>
      </c>
      <c r="S24" s="230">
        <f t="shared" ca="1" si="11"/>
        <v>0</v>
      </c>
      <c r="T24" s="230">
        <f t="shared" ca="1" si="4"/>
        <v>0</v>
      </c>
      <c r="U24" s="230">
        <f t="shared" ca="1" si="5"/>
        <v>0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1843895</v>
      </c>
      <c r="M41" s="487">
        <f t="shared" ca="1" si="16"/>
        <v>1941045</v>
      </c>
      <c r="N41" s="487">
        <f t="shared" ca="1" si="16"/>
        <v>1056426.49</v>
      </c>
      <c r="O41" s="487">
        <f ca="1">IF(L41&gt;0,N41*100/L41,0)</f>
        <v>57.293202161728296</v>
      </c>
      <c r="P41" s="487">
        <f ca="1">IF(M41&gt;0,N41*100/M41,0)</f>
        <v>54.425656798271035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424800</v>
      </c>
      <c r="M45" s="491">
        <f t="shared" ca="1" si="17"/>
        <v>424800</v>
      </c>
      <c r="N45" s="491">
        <f t="shared" ca="1" si="17"/>
        <v>261500</v>
      </c>
      <c r="O45" s="491">
        <f t="shared" ref="O45:O53" ca="1" si="18">IF(L45&gt;0,N45*100/L45,0)</f>
        <v>61.558380414312616</v>
      </c>
      <c r="P45" s="491">
        <f t="shared" ref="P45:P53" ca="1" si="19">IF(M45&gt;0,N45*100/M45,0)</f>
        <v>61.558380414312616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424800</v>
      </c>
      <c r="M47" s="497">
        <f t="shared" ca="1" si="23"/>
        <v>424800</v>
      </c>
      <c r="N47" s="497">
        <f t="shared" ca="1" si="23"/>
        <v>261500</v>
      </c>
      <c r="O47" s="497">
        <f t="shared" ca="1" si="18"/>
        <v>61.558380414312616</v>
      </c>
      <c r="P47" s="497">
        <f t="shared" ca="1" si="19"/>
        <v>61.558380414312616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424800</v>
      </c>
      <c r="M48" s="230">
        <f t="shared" ca="1" si="25"/>
        <v>424800</v>
      </c>
      <c r="N48" s="230">
        <f t="shared" ca="1" si="25"/>
        <v>261500</v>
      </c>
      <c r="O48" s="230">
        <f t="shared" ca="1" si="18"/>
        <v>61.558380414312616</v>
      </c>
      <c r="P48" s="230">
        <f t="shared" ca="1" si="19"/>
        <v>61.558380414312616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IFERROR(__xludf.DUMMYFUNCTION("IMPORTRANGE(""https://docs.google.com/spreadsheets/d/1-uDff_7J0KD5mKrp0Vvzr7lt3OU09vwQwhkpOPPYv2Y/edit?usp=sharing"",""งบพรบ!P24"")"),424800)</f>
        <v>424800</v>
      </c>
      <c r="M50" s="230">
        <f ca="1">IFERROR(__xludf.DUMMYFUNCTION("IMPORTRANGE(""https://docs.google.com/spreadsheets/d/1-uDff_7J0KD5mKrp0Vvzr7lt3OU09vwQwhkpOPPYv2Y/edit?usp=sharing"",""งบพรบ!V24"")"),424800)</f>
        <v>424800</v>
      </c>
      <c r="N50" s="230">
        <f ca="1">IFERROR(__xludf.DUMMYFUNCTION("IMPORTRANGE(""https://docs.google.com/spreadsheets/d/1-uDff_7J0KD5mKrp0Vvzr7lt3OU09vwQwhkpOPPYv2Y/edit?usp=sharing"",""งบพรบ!Y24"")"),261500)</f>
        <v>261500</v>
      </c>
      <c r="O50" s="230">
        <f t="shared" ca="1" si="18"/>
        <v>61.558380414312616</v>
      </c>
      <c r="P50" s="230">
        <f t="shared" ca="1" si="19"/>
        <v>61.558380414312616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IFERROR(__xludf.DUMMYFUNCTION("IMPORTRANGE(""https://docs.google.com/spreadsheets/d/1-uDff_7J0KD5mKrp0Vvzr7lt3OU09vwQwhkpOPPYv2Y/edit?usp=sharing"",""งบพรบ!S24"")"),0)</f>
        <v>0</v>
      </c>
      <c r="M53" s="230">
        <f ca="1">IFERROR(__xludf.DUMMYFUNCTION("IMPORTRANGE(""https://docs.google.com/spreadsheets/d/1-uDff_7J0KD5mKrp0Vvzr7lt3OU09vwQwhkpOPPYv2Y/edit?usp=sharing"",""งบพรบ!W24"")"),0)</f>
        <v>0</v>
      </c>
      <c r="N53" s="230">
        <f ca="1">IFERROR(__xludf.DUMMYFUNCTION("IMPORTRANGE(""https://docs.google.com/spreadsheets/d/1-uDff_7J0KD5mKrp0Vvzr7lt3OU09vwQwhkpOPPYv2Y/edit?usp=sharing"",""งบพรบ!Z24"")"),0)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417500</v>
      </c>
      <c r="M60" s="502">
        <f t="shared" ca="1" si="29"/>
        <v>417500</v>
      </c>
      <c r="N60" s="502">
        <f t="shared" ca="1" si="29"/>
        <v>295857.49</v>
      </c>
      <c r="O60" s="502">
        <f t="shared" ref="O60:O68" ca="1" si="30">IF(L60&gt;0,N60*100/L60,0)</f>
        <v>70.864069461077847</v>
      </c>
      <c r="P60" s="502">
        <f t="shared" ref="P60:P68" ca="1" si="31">IF(M60&gt;0,N60*100/M60,0)</f>
        <v>70.864069461077847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417500</v>
      </c>
      <c r="M62" s="508">
        <f t="shared" ca="1" si="35"/>
        <v>417500</v>
      </c>
      <c r="N62" s="508">
        <f t="shared" ca="1" si="35"/>
        <v>295857.49</v>
      </c>
      <c r="O62" s="508">
        <f t="shared" ca="1" si="30"/>
        <v>70.864069461077847</v>
      </c>
      <c r="P62" s="508">
        <f t="shared" ca="1" si="31"/>
        <v>70.864069461077847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417500</v>
      </c>
      <c r="M63" s="230">
        <f t="shared" ca="1" si="37"/>
        <v>417500</v>
      </c>
      <c r="N63" s="230">
        <f t="shared" ca="1" si="37"/>
        <v>295857.49</v>
      </c>
      <c r="O63" s="230">
        <f t="shared" ca="1" si="30"/>
        <v>70.864069461077847</v>
      </c>
      <c r="P63" s="230">
        <f t="shared" ca="1" si="31"/>
        <v>70.864069461077847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IFERROR(__xludf.DUMMYFUNCTION("IMPORTRANGE(""https://docs.google.com/spreadsheets/d/1-uDff_7J0KD5mKrp0Vvzr7lt3OU09vwQwhkpOPPYv2Y/edit?usp=sharing"",""งบพรบ!AC24"")"),417500)</f>
        <v>417500</v>
      </c>
      <c r="M65" s="230">
        <f ca="1">IFERROR(__xludf.DUMMYFUNCTION("IMPORTRANGE(""https://docs.google.com/spreadsheets/d/1-uDff_7J0KD5mKrp0Vvzr7lt3OU09vwQwhkpOPPYv2Y/edit?usp=sharing"",""งบพรบ!AH24"")"),417500)</f>
        <v>417500</v>
      </c>
      <c r="N65" s="230">
        <f ca="1">IFERROR(__xludf.DUMMYFUNCTION("IMPORTRANGE(""https://docs.google.com/spreadsheets/d/1-uDff_7J0KD5mKrp0Vvzr7lt3OU09vwQwhkpOPPYv2Y/edit?usp=sharing"",""งบพรบ!AJ24"")"),295857.49)</f>
        <v>295857.49</v>
      </c>
      <c r="O65" s="230">
        <f t="shared" ca="1" si="30"/>
        <v>70.864069461077847</v>
      </c>
      <c r="P65" s="230">
        <f t="shared" ca="1" si="31"/>
        <v>70.864069461077847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IFERROR(__xludf.DUMMYFUNCTION("IMPORTRANGE(""https://docs.google.com/spreadsheets/d/1-uDff_7J0KD5mKrp0Vvzr7lt3OU09vwQwhkpOPPYv2Y/edit?usp=sharing"",""งบพรบ!AF24"")"),0)</f>
        <v>0</v>
      </c>
      <c r="M68" s="461">
        <f ca="1">IFERROR(__xludf.DUMMYFUNCTION("IMPORTRANGE(""https://docs.google.com/spreadsheets/d/1-uDff_7J0KD5mKrp0Vvzr7lt3OU09vwQwhkpOPPYv2Y/edit?usp=sharing"",""งบพรบ!AI24"")"),0)</f>
        <v>0</v>
      </c>
      <c r="N68" s="461">
        <f ca="1">IFERROR(__xludf.DUMMYFUNCTION("IMPORTRANGE(""https://docs.google.com/spreadsheets/d/1-uDff_7J0KD5mKrp0Vvzr7lt3OU09vwQwhkpOPPYv2Y/edit?usp=sharing"",""งบพรบ!AK24"")"),0)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31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90000</v>
      </c>
      <c r="M73" s="515">
        <f t="shared" ca="1" si="43"/>
        <v>90000</v>
      </c>
      <c r="N73" s="515">
        <f t="shared" ca="1" si="43"/>
        <v>12950</v>
      </c>
      <c r="O73" s="515">
        <f t="shared" ref="O73:O81" ca="1" si="44">IF(L73&gt;0,N73*100/L73,0)</f>
        <v>14.388888888888889</v>
      </c>
      <c r="P73" s="515">
        <f t="shared" ref="P73:P81" ca="1" si="45">IF(M73&gt;0,N73*100/M73,0)</f>
        <v>14.388888888888889</v>
      </c>
      <c r="Q73" s="515">
        <f t="shared" ref="Q73:S73" ca="1" si="46">Q74+Q75</f>
        <v>410120</v>
      </c>
      <c r="R73" s="515">
        <f t="shared" ca="1" si="46"/>
        <v>410120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90000</v>
      </c>
      <c r="M75" s="230">
        <f t="shared" ca="1" si="49"/>
        <v>90000</v>
      </c>
      <c r="N75" s="230">
        <f t="shared" ca="1" si="49"/>
        <v>12950</v>
      </c>
      <c r="O75" s="230">
        <f t="shared" ca="1" si="44"/>
        <v>14.388888888888889</v>
      </c>
      <c r="P75" s="230">
        <f t="shared" ca="1" si="45"/>
        <v>14.388888888888889</v>
      </c>
      <c r="Q75" s="230">
        <f t="shared" ca="1" si="50"/>
        <v>410120</v>
      </c>
      <c r="R75" s="230">
        <f t="shared" ca="1" si="50"/>
        <v>410120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90000</v>
      </c>
      <c r="M76" s="230">
        <f t="shared" ca="1" si="51"/>
        <v>90000</v>
      </c>
      <c r="N76" s="230">
        <f t="shared" ca="1" si="51"/>
        <v>12950</v>
      </c>
      <c r="O76" s="230">
        <f t="shared" ca="1" si="44"/>
        <v>14.388888888888889</v>
      </c>
      <c r="P76" s="230">
        <f t="shared" ca="1" si="45"/>
        <v>14.388888888888889</v>
      </c>
      <c r="Q76" s="230">
        <f t="shared" ref="Q76:S76" ca="1" si="52">Q77+Q78</f>
        <v>410120</v>
      </c>
      <c r="R76" s="230">
        <f t="shared" ca="1" si="52"/>
        <v>410120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IFERROR(__xludf.DUMMYFUNCTION("IMPORTRANGE(""https://docs.google.com/spreadsheets/d/1-uDff_7J0KD5mKrp0Vvzr7lt3OU09vwQwhkpOPPYv2Y/edit?usp=sharing"",""งบพรบ!AM24"")"),90000)</f>
        <v>90000</v>
      </c>
      <c r="M78" s="230">
        <f ca="1">IFERROR(__xludf.DUMMYFUNCTION("IMPORTRANGE(""https://docs.google.com/spreadsheets/d/1-uDff_7J0KD5mKrp0Vvzr7lt3OU09vwQwhkpOPPYv2Y/edit?usp=sharing"",""งบพรบ!AR24"")"),90000)</f>
        <v>90000</v>
      </c>
      <c r="N78" s="230">
        <f ca="1">IFERROR(__xludf.DUMMYFUNCTION("IMPORTRANGE(""https://docs.google.com/spreadsheets/d/1-uDff_7J0KD5mKrp0Vvzr7lt3OU09vwQwhkpOPPYv2Y/edit?usp=sharing"",""งบพรบ!AT24"")"),12950)</f>
        <v>12950</v>
      </c>
      <c r="O78" s="230">
        <f t="shared" ca="1" si="44"/>
        <v>14.388888888888889</v>
      </c>
      <c r="P78" s="230">
        <f t="shared" ca="1" si="45"/>
        <v>14.388888888888889</v>
      </c>
      <c r="Q78" s="230">
        <f ca="1">IFERROR(__xludf.DUMMYFUNCTION("IMPORTRANGE(""https://docs.google.com/spreadsheets/d/1ItG2mGa2ceCfYo0BwxsXqNm01IGEUdYcSSLTEv9YCik/edit?usp=sharing"",""เบิกจ่ายกองทุน!AS24"")"),410120)</f>
        <v>410120</v>
      </c>
      <c r="R78" s="230">
        <f ca="1">IFERROR(__xludf.DUMMYFUNCTION("IMPORTRANGE(""https://docs.google.com/spreadsheets/d/1ItG2mGa2ceCfYo0BwxsXqNm01IGEUdYcSSLTEv9YCik/edit?usp=sharing"",""เบิกจ่ายกองทุน!AT24"")"),410120)</f>
        <v>410120</v>
      </c>
      <c r="S78" s="230">
        <f ca="1">IFERROR(__xludf.DUMMYFUNCTION("IMPORTRANGE(""https://docs.google.com/spreadsheets/d/1ItG2mGa2ceCfYo0BwxsXqNm01IGEUdYcSSLTEv9YCik/edit?usp=sharing"",""เบิกจ่ายกองทุน!AU24"")"),0)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IFERROR(__xludf.DUMMYFUNCTION("IMPORTRANGE(""https://docs.google.com/spreadsheets/d/1-uDff_7J0KD5mKrp0Vvzr7lt3OU09vwQwhkpOPPYv2Y/edit?usp=sharing"",""งบพรบ!AP24"")"),0)</f>
        <v>0</v>
      </c>
      <c r="M81" s="230">
        <f ca="1">IFERROR(__xludf.DUMMYFUNCTION("IMPORTRANGE(""https://docs.google.com/spreadsheets/d/1-uDff_7J0KD5mKrp0Vvzr7lt3OU09vwQwhkpOPPYv2Y/edit?usp=sharing"",""งบพรบ!AS24"")"),0)</f>
        <v>0</v>
      </c>
      <c r="N81" s="230">
        <f ca="1">IFERROR(__xludf.DUMMYFUNCTION("IMPORTRANGE(""https://docs.google.com/spreadsheets/d/1-uDff_7J0KD5mKrp0Vvzr7lt3OU09vwQwhkpOPPYv2Y/edit?usp=sharing"",""งบพรบ!AU24"")"),0)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31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IFERROR(__xludf.DUMMYFUNCTION("IMPORTRANGE(""https://docs.google.com/spreadsheets/d/1eHaY18a8A9IcSdp1K8H6x8fbOy06t2VsZHhMHf-1x7Y/edit?usp=sharing"",""แผน!H24"")"),1)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IFERROR(__xludf.DUMMYFUNCTION("IMPORTRANGE(""https://docs.google.com/spreadsheets/d/1eHaY18a8A9IcSdp1K8H6x8fbOy06t2VsZHhMHf-1x7Y/edit?usp=sharing"",""แผน!I24"")"),31)</f>
        <v>31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IFERROR(__xludf.DUMMYFUNCTION("IMPORTRANGE(""https://docs.google.com/spreadsheets/d/1eHaY18a8A9IcSdp1K8H6x8fbOy06t2VsZHhMHf-1x7Y/edit?usp=sharing"",""แผน!F24"")"),0)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IFERROR(__xludf.DUMMYFUNCTION("IMPORTRANGE(""https://docs.google.com/spreadsheets/d/1eHaY18a8A9IcSdp1K8H6x8fbOy06t2VsZHhMHf-1x7Y/edit?usp=sharing"",""แผน!G24"")"),0)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IFERROR(__xludf.DUMMYFUNCTION("IMPORTRANGE(""https://docs.google.com/spreadsheets/d/1eHaY18a8A9IcSdp1K8H6x8fbOy06t2VsZHhMHf-1x7Y/edit?usp=sharing"",""แผน!D24"")"),0)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IFERROR(__xludf.DUMMYFUNCTION("IMPORTRANGE(""https://docs.google.com/spreadsheets/d/1eHaY18a8A9IcSdp1K8H6x8fbOy06t2VsZHhMHf-1x7Y/edit?usp=sharing"",""แผน!E24"")"),0)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IFERROR(__xludf.DUMMYFUNCTION("IMPORTRANGE(""https://docs.google.com/spreadsheets/d/1eHaY18a8A9IcSdp1K8H6x8fbOy06t2VsZHhMHf-1x7Y/edit?usp=sharing"",""แผน!J24"")"),1)</f>
        <v>1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IFERROR(__xludf.DUMMYFUNCTION("IMPORTRANGE(""https://docs.google.com/spreadsheets/d/1-uDff_7J0KD5mKrp0Vvzr7lt3OU09vwQwhkpOPPYv2Y/edit?usp=sharing"",""งบพรบ!AW24"")"),0)</f>
        <v>0</v>
      </c>
      <c r="M100" s="230">
        <f ca="1">IFERROR(__xludf.DUMMYFUNCTION("IMPORTRANGE(""https://docs.google.com/spreadsheets/d/1-uDff_7J0KD5mKrp0Vvzr7lt3OU09vwQwhkpOPPYv2Y/edit?usp=sharing"",""งบพรบ!BB24"")"),0)</f>
        <v>0</v>
      </c>
      <c r="N100" s="230">
        <f ca="1">IFERROR(__xludf.DUMMYFUNCTION("IMPORTRANGE(""https://docs.google.com/spreadsheets/d/1-uDff_7J0KD5mKrp0Vvzr7lt3OU09vwQwhkpOPPYv2Y/edit?usp=sharing"",""งบพรบ!BD24"")"),0)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IFERROR(__xludf.DUMMYFUNCTION("IMPORTRANGE(""https://docs.google.com/spreadsheets/d/1ItG2mGa2ceCfYo0BwxsXqNm01IGEUdYcSSLTEv9YCik/edit?usp=sharing"",""เบิกจ่ายกองทุน!AD24"")"),0)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IFERROR(__xludf.DUMMYFUNCTION("IMPORTRANGE(""https://docs.google.com/spreadsheets/d/1ItG2mGa2ceCfYo0BwxsXqNm01IGEUdYcSSLTEv9YCik/edit?usp=sharing"",""เบิกจ่ายกองทุน!AE24"")"),0)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IFERROR(__xludf.DUMMYFUNCTION("IMPORTRANGE(""https://docs.google.com/spreadsheets/d/1ItG2mGa2ceCfYo0BwxsXqNm01IGEUdYcSSLTEv9YCik/edit?usp=sharing"",""เบิกจ่ายกองทุน!AF24"")"),0)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IFERROR(__xludf.DUMMYFUNCTION("IMPORTRANGE(""https://docs.google.com/spreadsheets/d/1-uDff_7J0KD5mKrp0Vvzr7lt3OU09vwQwhkpOPPYv2Y/edit?usp=sharing"",""งบพรบ!AZ24"")"),0)</f>
        <v>0</v>
      </c>
      <c r="M103" s="230">
        <f ca="1">IFERROR(__xludf.DUMMYFUNCTION("IMPORTRANGE(""https://docs.google.com/spreadsheets/d/1-uDff_7J0KD5mKrp0Vvzr7lt3OU09vwQwhkpOPPYv2Y/edit?usp=sharing"",""งบพรบ!BC24"")"),0)</f>
        <v>0</v>
      </c>
      <c r="N103" s="230">
        <f ca="1">IFERROR(__xludf.DUMMYFUNCTION("IMPORTRANGE(""https://docs.google.com/spreadsheets/d/1-uDff_7J0KD5mKrp0Vvzr7lt3OU09vwQwhkpOPPYv2Y/edit?usp=sharing"",""งบพรบ!BE24"")"),0)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IFERROR(__xludf.DUMMYFUNCTION("IMPORTRANGE(""https://docs.google.com/spreadsheets/d/1eHaY18a8A9IcSdp1K8H6x8fbOy06t2VsZHhMHf-1x7Y/edit?usp=sharing"",""แผน!N24"")"),0)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IFERROR(__xludf.DUMMYFUNCTION("IMPORTRANGE(""https://docs.google.com/spreadsheets/d/1eHaY18a8A9IcSdp1K8H6x8fbOy06t2VsZHhMHf-1x7Y/edit?usp=sharing"",""แผน!O24"")"),0)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IFERROR(__xludf.DUMMYFUNCTION("IMPORTRANGE(""https://docs.google.com/spreadsheets/d/1eHaY18a8A9IcSdp1K8H6x8fbOy06t2VsZHhMHf-1x7Y/edit?usp=sharing"",""แผน!R24"")"),0)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30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247020</v>
      </c>
      <c r="R118" s="515">
        <f t="shared" ca="1" si="76"/>
        <v>247020</v>
      </c>
      <c r="S118" s="515">
        <f t="shared" ca="1" si="76"/>
        <v>0</v>
      </c>
      <c r="T118" s="515">
        <f t="shared" ref="T118:T126" ca="1" si="77">IF(Q118&gt;0,S118*100/Q118,0)</f>
        <v>0</v>
      </c>
      <c r="U118" s="515">
        <f t="shared" ref="U118:U126" ca="1" si="78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247020</v>
      </c>
      <c r="R120" s="230">
        <f t="shared" ca="1" si="80"/>
        <v>247020</v>
      </c>
      <c r="S120" s="230">
        <f t="shared" ca="1" si="80"/>
        <v>0</v>
      </c>
      <c r="T120" s="230">
        <f t="shared" ca="1" si="77"/>
        <v>0</v>
      </c>
      <c r="U120" s="230">
        <f t="shared" ca="1" si="78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247020</v>
      </c>
      <c r="R121" s="230">
        <f t="shared" ca="1" si="82"/>
        <v>247020</v>
      </c>
      <c r="S121" s="230">
        <f t="shared" ca="1" si="82"/>
        <v>0</v>
      </c>
      <c r="T121" s="230">
        <f t="shared" ca="1" si="77"/>
        <v>0</v>
      </c>
      <c r="U121" s="230">
        <f t="shared" ca="1" si="78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IFERROR(__xludf.DUMMYFUNCTION("IMPORTRANGE(""https://docs.google.com/spreadsheets/d/1-uDff_7J0KD5mKrp0Vvzr7lt3OU09vwQwhkpOPPYv2Y/edit?usp=sharing"",""งบพรบ!BG24"")"),0)</f>
        <v>0</v>
      </c>
      <c r="M123" s="230">
        <f ca="1">IFERROR(__xludf.DUMMYFUNCTION("IMPORTRANGE(""https://docs.google.com/spreadsheets/d/1-uDff_7J0KD5mKrp0Vvzr7lt3OU09vwQwhkpOPPYv2Y/edit?usp=sharing"",""งบพรบ!BL24"")"),0)</f>
        <v>0</v>
      </c>
      <c r="N123" s="230">
        <f ca="1">IFERROR(__xludf.DUMMYFUNCTION("IMPORTRANGE(""https://docs.google.com/spreadsheets/d/1-uDff_7J0KD5mKrp0Vvzr7lt3OU09vwQwhkpOPPYv2Y/edit?usp=sharing"",""งบพรบ!BN24"")"),0)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IFERROR(__xludf.DUMMYFUNCTION("IMPORTRANGE(""https://docs.google.com/spreadsheets/d/1ItG2mGa2ceCfYo0BwxsXqNm01IGEUdYcSSLTEv9YCik/edit?usp=sharing"",""เบิกจ่ายกองทุน!R24"")"),247020)</f>
        <v>247020</v>
      </c>
      <c r="R123" s="230">
        <f ca="1">IFERROR(__xludf.DUMMYFUNCTION("IMPORTRANGE(""https://docs.google.com/spreadsheets/d/1ItG2mGa2ceCfYo0BwxsXqNm01IGEUdYcSSLTEv9YCik/edit?usp=sharing"",""เบิกจ่ายกองทุน!S24"")"),247020)</f>
        <v>247020</v>
      </c>
      <c r="S123" s="230">
        <f ca="1">IFERROR(__xludf.DUMMYFUNCTION("IMPORTRANGE(""https://docs.google.com/spreadsheets/d/1ItG2mGa2ceCfYo0BwxsXqNm01IGEUdYcSSLTEv9YCik/edit?usp=sharing"",""เบิกจ่ายกองทุน!T24"")"),0)</f>
        <v>0</v>
      </c>
      <c r="T123" s="230">
        <f t="shared" ca="1" si="77"/>
        <v>0</v>
      </c>
      <c r="U123" s="230">
        <f t="shared" ca="1" si="78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IFERROR(__xludf.DUMMYFUNCTION("IMPORTRANGE(""https://docs.google.com/spreadsheets/d/1-uDff_7J0KD5mKrp0Vvzr7lt3OU09vwQwhkpOPPYv2Y/edit?usp=sharing"",""งบพรบ!BJ24"")"),0)</f>
        <v>0</v>
      </c>
      <c r="M126" s="230">
        <f ca="1">IFERROR(__xludf.DUMMYFUNCTION("IMPORTRANGE(""https://docs.google.com/spreadsheets/d/1-uDff_7J0KD5mKrp0Vvzr7lt3OU09vwQwhkpOPPYv2Y/edit?usp=sharing"",""งบพรบ!BM24"")"),0)</f>
        <v>0</v>
      </c>
      <c r="N126" s="230">
        <f ca="1">IFERROR(__xludf.DUMMYFUNCTION("IMPORTRANGE(""https://docs.google.com/spreadsheets/d/1-uDff_7J0KD5mKrp0Vvzr7lt3OU09vwQwhkpOPPYv2Y/edit?usp=sharing"",""งบพรบ!BO24"")"),0)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IFERROR(__xludf.DUMMYFUNCTION("IMPORTRANGE(""https://docs.google.com/spreadsheets/d/1eHaY18a8A9IcSdp1K8H6x8fbOy06t2VsZHhMHf-1x7Y/edit?usp=sharing"",""แผน!FF24"")"),30)</f>
        <v>30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IFERROR(__xludf.DUMMYFUNCTION("IMPORTRANGE(""https://docs.google.com/spreadsheets/d/1eHaY18a8A9IcSdp1K8H6x8fbOy06t2VsZHhMHf-1x7Y/edit?usp=sharing"",""แผน!FG24"")"),0)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IFERROR(__xludf.DUMMYFUNCTION("IMPORTRANGE(""https://docs.google.com/spreadsheets/d/1eHaY18a8A9IcSdp1K8H6x8fbOy06t2VsZHhMHf-1x7Y/edit?usp=sharing"",""แผน!FH24"")"),30)</f>
        <v>30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IFERROR(__xludf.DUMMYFUNCTION("IMPORTRANGE(""https://docs.google.com/spreadsheets/d/1eHaY18a8A9IcSdp1K8H6x8fbOy06t2VsZHhMHf-1x7Y/edit?usp=sharing"",""แผน!FI24"")"),0)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1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60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6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164700</v>
      </c>
      <c r="M140" s="515">
        <f t="shared" ca="1" si="89"/>
        <v>159700</v>
      </c>
      <c r="N140" s="515">
        <f t="shared" ca="1" si="89"/>
        <v>36250</v>
      </c>
      <c r="O140" s="515">
        <f t="shared" ref="O140:O148" ca="1" si="90">IF(L140&gt;0,N140*100/L140,0)</f>
        <v>22.009714632665453</v>
      </c>
      <c r="P140" s="515">
        <f t="shared" ref="P140:P148" ca="1" si="91">IF(M140&gt;0,N140*100/M140,0)</f>
        <v>22.698810269254853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164700</v>
      </c>
      <c r="M142" s="230">
        <f t="shared" ca="1" si="95"/>
        <v>159700</v>
      </c>
      <c r="N142" s="230">
        <f t="shared" ca="1" si="95"/>
        <v>36250</v>
      </c>
      <c r="O142" s="230">
        <f t="shared" ca="1" si="90"/>
        <v>22.009714632665453</v>
      </c>
      <c r="P142" s="230">
        <f t="shared" ca="1" si="91"/>
        <v>22.698810269254853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164700</v>
      </c>
      <c r="M143" s="230">
        <f t="shared" ca="1" si="97"/>
        <v>159700</v>
      </c>
      <c r="N143" s="230">
        <f t="shared" ca="1" si="97"/>
        <v>36250</v>
      </c>
      <c r="O143" s="230">
        <f t="shared" ca="1" si="90"/>
        <v>22.009714632665453</v>
      </c>
      <c r="P143" s="230">
        <f t="shared" ca="1" si="91"/>
        <v>22.698810269254853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IFERROR(__xludf.DUMMYFUNCTION("IMPORTRANGE(""https://docs.google.com/spreadsheets/d/1-uDff_7J0KD5mKrp0Vvzr7lt3OU09vwQwhkpOPPYv2Y/edit?usp=sharing"",""งบพรบ!BQ24"")"),164700)</f>
        <v>164700</v>
      </c>
      <c r="M145" s="230">
        <f ca="1">IFERROR(__xludf.DUMMYFUNCTION("IMPORTRANGE(""https://docs.google.com/spreadsheets/d/1-uDff_7J0KD5mKrp0Vvzr7lt3OU09vwQwhkpOPPYv2Y/edit?usp=sharing"",""งบพรบ!BV24"")"),159700)</f>
        <v>159700</v>
      </c>
      <c r="N145" s="230">
        <f ca="1">IFERROR(__xludf.DUMMYFUNCTION("IMPORTRANGE(""https://docs.google.com/spreadsheets/d/1-uDff_7J0KD5mKrp0Vvzr7lt3OU09vwQwhkpOPPYv2Y/edit?usp=sharing"",""งบพรบ!BX24"")"),36250)</f>
        <v>36250</v>
      </c>
      <c r="O145" s="230">
        <f t="shared" ca="1" si="90"/>
        <v>22.009714632665453</v>
      </c>
      <c r="P145" s="230">
        <f t="shared" ca="1" si="91"/>
        <v>22.698810269254853</v>
      </c>
      <c r="Q145" s="230">
        <f ca="1">IFERROR(__xludf.DUMMYFUNCTION("IMPORTRANGE(""https://docs.google.com/spreadsheets/d/1ItG2mGa2ceCfYo0BwxsXqNm01IGEUdYcSSLTEv9YCik/edit?usp=sharing"",""เบิกจ่ายกองทุน!BB24"")"),0)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IFERROR(__xludf.DUMMYFUNCTION("IMPORTRANGE(""https://docs.google.com/spreadsheets/d/1ItG2mGa2ceCfYo0BwxsXqNm01IGEUdYcSSLTEv9YCik/edit?usp=sharing"",""เบิกจ่ายกองทุน!BC24"")"),0)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IFERROR(__xludf.DUMMYFUNCTION("IMPORTRANGE(""https://docs.google.com/spreadsheets/d/1ItG2mGa2ceCfYo0BwxsXqNm01IGEUdYcSSLTEv9YCik/edit?usp=sharing"",""เบิกจ่ายกองทุน!BD24"")"),0)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IFERROR(__xludf.DUMMYFUNCTION("IMPORTRANGE(""https://docs.google.com/spreadsheets/d/1-uDff_7J0KD5mKrp0Vvzr7lt3OU09vwQwhkpOPPYv2Y/edit?usp=sharing"",""งบพรบ!BT24"")"),0)</f>
        <v>0</v>
      </c>
      <c r="M148" s="230">
        <f ca="1">IFERROR(__xludf.DUMMYFUNCTION("IMPORTRANGE(""https://docs.google.com/spreadsheets/d/1-uDff_7J0KD5mKrp0Vvzr7lt3OU09vwQwhkpOPPYv2Y/edit?usp=sharing"",""งบพรบ!BW24"")"),0)</f>
        <v>0</v>
      </c>
      <c r="N148" s="230">
        <f ca="1">IFERROR(__xludf.DUMMYFUNCTION("IMPORTRANGE(""https://docs.google.com/spreadsheets/d/1-uDff_7J0KD5mKrp0Vvzr7lt3OU09vwQwhkpOPPYv2Y/edit?usp=sharing"",""งบพรบ!BY24"")"),0)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IFERROR(__xludf.DUMMYFUNCTION("IMPORTRANGE(""https://docs.google.com/spreadsheets/d/1eHaY18a8A9IcSdp1K8H6x8fbOy06t2VsZHhMHf-1x7Y/edit?usp=sharing"",""แผน!U24"")"),10)</f>
        <v>10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IFERROR(__xludf.DUMMYFUNCTION("IMPORTRANGE(""https://docs.google.com/spreadsheets/d/1eHaY18a8A9IcSdp1K8H6x8fbOy06t2VsZHhMHf-1x7Y/edit?usp=sharing"",""แผน!V24"")"),1)</f>
        <v>1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IFERROR(__xludf.DUMMYFUNCTION("IMPORTRANGE(""https://docs.google.com/spreadsheets/d/1eHaY18a8A9IcSdp1K8H6x8fbOy06t2VsZHhMHf-1x7Y/edit?usp=sharing"",""แผน!W24"")"),60)</f>
        <v>60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IFERROR(__xludf.DUMMYFUNCTION("IMPORTRANGE(""https://docs.google.com/spreadsheets/d/1eHaY18a8A9IcSdp1K8H6x8fbOy06t2VsZHhMHf-1x7Y/edit?usp=sharing"",""แผน!X24"")"),6)</f>
        <v>6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IFERROR(__xludf.DUMMYFUNCTION("IMPORTRANGE(""https://docs.google.com/spreadsheets/d/1eHaY18a8A9IcSdp1K8H6x8fbOy06t2VsZHhMHf-1x7Y/edit?usp=sharing"",""แผน!Y24"")"),1)</f>
        <v>1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I170</f>
        <v>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0</v>
      </c>
      <c r="M158" s="515">
        <f t="shared" ca="1" si="103"/>
        <v>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0</v>
      </c>
      <c r="M160" s="230">
        <f t="shared" ca="1" si="109"/>
        <v>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0</v>
      </c>
      <c r="M161" s="230">
        <f t="shared" ca="1" si="111"/>
        <v>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IFERROR(__xludf.DUMMYFUNCTION("IMPORTRANGE(""https://docs.google.com/spreadsheets/d/1-uDff_7J0KD5mKrp0Vvzr7lt3OU09vwQwhkpOPPYv2Y/edit?usp=sharing"",""งบพรบ!CA24"")"),0)</f>
        <v>0</v>
      </c>
      <c r="M163" s="230">
        <f ca="1">IFERROR(__xludf.DUMMYFUNCTION("IMPORTRANGE(""https://docs.google.com/spreadsheets/d/1-uDff_7J0KD5mKrp0Vvzr7lt3OU09vwQwhkpOPPYv2Y/edit?usp=sharing"",""งบพรบ!CF24"")"),0)</f>
        <v>0</v>
      </c>
      <c r="N163" s="230">
        <f ca="1">IFERROR(__xludf.DUMMYFUNCTION("IMPORTRANGE(""https://docs.google.com/spreadsheets/d/1-uDff_7J0KD5mKrp0Vvzr7lt3OU09vwQwhkpOPPYv2Y/edit?usp=sharing"",""งบพรบ!CH24"")"),0)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IFERROR(__xludf.DUMMYFUNCTION("IMPORTRANGE(""https://docs.google.com/spreadsheets/d/1ItG2mGa2ceCfYo0BwxsXqNm01IGEUdYcSSLTEv9YCik/edit?usp=sharing"",""เบิกจ่ายกองทุน!AG24"")"),0)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IFERROR(__xludf.DUMMYFUNCTION("IMPORTRANGE(""https://docs.google.com/spreadsheets/d/1ItG2mGa2ceCfYo0BwxsXqNm01IGEUdYcSSLTEv9YCik/edit?usp=sharing"",""เบิกจ่ายกองทุน!AH24"")"),0)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IFERROR(__xludf.DUMMYFUNCTION("IMPORTRANGE(""https://docs.google.com/spreadsheets/d/1ItG2mGa2ceCfYo0BwxsXqNm01IGEUdYcSSLTEv9YCik/edit?usp=sharing"",""เบิกจ่ายกองทุน!AI24"")"),0)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IFERROR(__xludf.DUMMYFUNCTION("IMPORTRANGE(""https://docs.google.com/spreadsheets/d/1-uDff_7J0KD5mKrp0Vvzr7lt3OU09vwQwhkpOPPYv2Y/edit?usp=sharing"",""งบพรบ!CD24"")"),0)</f>
        <v>0</v>
      </c>
      <c r="M166" s="230">
        <f ca="1">IFERROR(__xludf.DUMMYFUNCTION("IMPORTRANGE(""https://docs.google.com/spreadsheets/d/1-uDff_7J0KD5mKrp0Vvzr7lt3OU09vwQwhkpOPPYv2Y/edit?usp=sharing"",""งบพรบ!CG24"")"),0)</f>
        <v>0</v>
      </c>
      <c r="N166" s="230">
        <f ca="1">IFERROR(__xludf.DUMMYFUNCTION("IMPORTRANGE(""https://docs.google.com/spreadsheets/d/1-uDff_7J0KD5mKrp0Vvzr7lt3OU09vwQwhkpOPPYv2Y/edit?usp=sharing"",""งบพรบ!CI24"")"),0)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IFERROR(__xludf.DUMMYFUNCTION("IMPORTRANGE(""https://docs.google.com/spreadsheets/d/1eHaY18a8A9IcSdp1K8H6x8fbOy06t2VsZHhMHf-1x7Y/edit?usp=sharing"",""แผน!Z24"")"),0)</f>
        <v>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IFERROR(__xludf.DUMMYFUNCTION("IMPORTRANGE(""https://docs.google.com/spreadsheets/d/1eHaY18a8A9IcSdp1K8H6x8fbOy06t2VsZHhMHf-1x7Y/edit?usp=sharing"",""แผน!Z24"")"),0)</f>
        <v>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IFERROR(__xludf.DUMMYFUNCTION("IMPORTRANGE(""https://docs.google.com/spreadsheets/d/1eHaY18a8A9IcSdp1K8H6x8fbOy06t2VsZHhMHf-1x7Y/edit?usp=sharing"",""แผน!Z24"")"),0)</f>
        <v>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127740</v>
      </c>
      <c r="N174" s="515">
        <f t="shared" ca="1" si="117"/>
        <v>107730</v>
      </c>
      <c r="O174" s="515">
        <f t="shared" ref="O174:O182" ca="1" si="118">IF(L174&gt;0,N174*100/L174,0)</f>
        <v>549.9234303215926</v>
      </c>
      <c r="P174" s="515">
        <f t="shared" ref="P174:P182" ca="1" si="119">IF(M174&gt;0,N174*100/M174,0)</f>
        <v>84.335368717707837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127740</v>
      </c>
      <c r="N176" s="230">
        <f t="shared" ca="1" si="123"/>
        <v>107730</v>
      </c>
      <c r="O176" s="230">
        <f t="shared" ca="1" si="118"/>
        <v>549.9234303215926</v>
      </c>
      <c r="P176" s="230">
        <f t="shared" ca="1" si="119"/>
        <v>84.335368717707837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127740</v>
      </c>
      <c r="N177" s="230">
        <f t="shared" ca="1" si="125"/>
        <v>107730</v>
      </c>
      <c r="O177" s="230">
        <f t="shared" ca="1" si="118"/>
        <v>549.9234303215926</v>
      </c>
      <c r="P177" s="230">
        <f t="shared" ca="1" si="119"/>
        <v>84.335368717707837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IFERROR(__xludf.DUMMYFUNCTION("IMPORTRANGE(""https://docs.google.com/spreadsheets/d/1-uDff_7J0KD5mKrp0Vvzr7lt3OU09vwQwhkpOPPYv2Y/edit?usp=sharing"",""งบพรบ!CK24"")"),19590)</f>
        <v>19590</v>
      </c>
      <c r="M179" s="230">
        <f ca="1">IFERROR(__xludf.DUMMYFUNCTION("IMPORTRANGE(""https://docs.google.com/spreadsheets/d/1-uDff_7J0KD5mKrp0Vvzr7lt3OU09vwQwhkpOPPYv2Y/edit?usp=sharing"",""งบพรบ!CP24"")"),127740)</f>
        <v>127740</v>
      </c>
      <c r="N179" s="230">
        <f ca="1">IFERROR(__xludf.DUMMYFUNCTION("IMPORTRANGE(""https://docs.google.com/spreadsheets/d/1-uDff_7J0KD5mKrp0Vvzr7lt3OU09vwQwhkpOPPYv2Y/edit?usp=sharing"",""งบพรบ!CR24"")"),107730)</f>
        <v>107730</v>
      </c>
      <c r="O179" s="230">
        <f t="shared" ca="1" si="118"/>
        <v>549.9234303215926</v>
      </c>
      <c r="P179" s="230">
        <f t="shared" ca="1" si="119"/>
        <v>84.335368717707837</v>
      </c>
      <c r="Q179" s="230">
        <f ca="1">IFERROR(__xludf.DUMMYFUNCTION("IMPORTRANGE(""https://docs.google.com/spreadsheets/d/1ItG2mGa2ceCfYo0BwxsXqNm01IGEUdYcSSLTEv9YCik/edit?usp=sharing"",""เบิกจ่ายกองทุน!BE24"")"),0)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IFERROR(__xludf.DUMMYFUNCTION("IMPORTRANGE(""https://docs.google.com/spreadsheets/d/1ItG2mGa2ceCfYo0BwxsXqNm01IGEUdYcSSLTEv9YCik/edit?usp=sharing"",""เบิกจ่ายกองทุน!BF24"")"),0)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IFERROR(__xludf.DUMMYFUNCTION("IMPORTRANGE(""https://docs.google.com/spreadsheets/d/1ItG2mGa2ceCfYo0BwxsXqNm01IGEUdYcSSLTEv9YCik/edit?usp=sharing"",""เบิกจ่ายกองทุน!BG24"")"),0)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IFERROR(__xludf.DUMMYFUNCTION("IMPORTRANGE(""https://docs.google.com/spreadsheets/d/1-uDff_7J0KD5mKrp0Vvzr7lt3OU09vwQwhkpOPPYv2Y/edit?usp=sharing"",""งบพรบ!CN24"")"),0)</f>
        <v>0</v>
      </c>
      <c r="M182" s="230">
        <f ca="1">IFERROR(__xludf.DUMMYFUNCTION("IMPORTRANGE(""https://docs.google.com/spreadsheets/d/1-uDff_7J0KD5mKrp0Vvzr7lt3OU09vwQwhkpOPPYv2Y/edit?usp=sharing"",""งบพรบ!CQ24"")"),0)</f>
        <v>0</v>
      </c>
      <c r="N182" s="230">
        <f ca="1">IFERROR(__xludf.DUMMYFUNCTION("IMPORTRANGE(""https://docs.google.com/spreadsheets/d/1-uDff_7J0KD5mKrp0Vvzr7lt3OU09vwQwhkpOPPYv2Y/edit?usp=sharing"",""งบพรบ!CS24"")"),0)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IFERROR(__xludf.DUMMYFUNCTION("IMPORTRANGE(""https://docs.google.com/spreadsheets/d/1eHaY18a8A9IcSdp1K8H6x8fbOy06t2VsZHhMHf-1x7Y/edit?usp=sharing"",""แผน!AA24"")"),7)</f>
        <v>7</v>
      </c>
      <c r="J184" s="520">
        <v>0</v>
      </c>
      <c r="K184" s="230">
        <f t="shared" ref="K184:K186" ca="1" si="129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140500</v>
      </c>
      <c r="M187" s="515">
        <f t="shared" ca="1" si="131"/>
        <v>124500</v>
      </c>
      <c r="N187" s="515">
        <f t="shared" ca="1" si="131"/>
        <v>56134</v>
      </c>
      <c r="O187" s="515">
        <f t="shared" ref="O187:O195" ca="1" si="132">IF(L187&gt;0,N187*100/L187,0)</f>
        <v>39.953024911032031</v>
      </c>
      <c r="P187" s="515">
        <f t="shared" ref="P187:P195" ca="1" si="133">IF(M187&gt;0,N187*100/M187,0)</f>
        <v>45.087550200803214</v>
      </c>
      <c r="Q187" s="515">
        <f t="shared" ref="Q187:S187" ca="1" si="134">Q188+Q189</f>
        <v>28000</v>
      </c>
      <c r="R187" s="515">
        <f t="shared" ca="1" si="134"/>
        <v>28000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140500</v>
      </c>
      <c r="M189" s="230">
        <f t="shared" ca="1" si="137"/>
        <v>124500</v>
      </c>
      <c r="N189" s="230">
        <f t="shared" ca="1" si="137"/>
        <v>56134</v>
      </c>
      <c r="O189" s="230">
        <f t="shared" ca="1" si="132"/>
        <v>39.953024911032031</v>
      </c>
      <c r="P189" s="230">
        <f t="shared" ca="1" si="133"/>
        <v>45.087550200803214</v>
      </c>
      <c r="Q189" s="230">
        <f t="shared" ca="1" si="138"/>
        <v>28000</v>
      </c>
      <c r="R189" s="230">
        <f t="shared" ca="1" si="138"/>
        <v>28000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140500</v>
      </c>
      <c r="M190" s="230">
        <f t="shared" ca="1" si="139"/>
        <v>124500</v>
      </c>
      <c r="N190" s="230">
        <f t="shared" ca="1" si="139"/>
        <v>56134</v>
      </c>
      <c r="O190" s="230">
        <f t="shared" ca="1" si="132"/>
        <v>39.953024911032031</v>
      </c>
      <c r="P190" s="230">
        <f t="shared" ca="1" si="133"/>
        <v>45.087550200803214</v>
      </c>
      <c r="Q190" s="230">
        <f t="shared" ref="Q190:S190" ca="1" si="140">Q191+Q192</f>
        <v>28000</v>
      </c>
      <c r="R190" s="230">
        <f t="shared" ca="1" si="140"/>
        <v>28000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IFERROR(__xludf.DUMMYFUNCTION("IMPORTRANGE(""https://docs.google.com/spreadsheets/d/1-uDff_7J0KD5mKrp0Vvzr7lt3OU09vwQwhkpOPPYv2Y/edit?usp=sharing"",""งบพรบ!CU24"")"),140500)</f>
        <v>140500</v>
      </c>
      <c r="M192" s="230">
        <f ca="1">IFERROR(__xludf.DUMMYFUNCTION("IMPORTRANGE(""https://docs.google.com/spreadsheets/d/1-uDff_7J0KD5mKrp0Vvzr7lt3OU09vwQwhkpOPPYv2Y/edit?usp=sharing"",""งบพรบ!CZ24"")"),124500)</f>
        <v>124500</v>
      </c>
      <c r="N192" s="230">
        <f ca="1">IFERROR(__xludf.DUMMYFUNCTION("IMPORTRANGE(""https://docs.google.com/spreadsheets/d/1-uDff_7J0KD5mKrp0Vvzr7lt3OU09vwQwhkpOPPYv2Y/edit?usp=sharing"",""งบพรบ!DB24"")"),56134)</f>
        <v>56134</v>
      </c>
      <c r="O192" s="230">
        <f t="shared" ca="1" si="132"/>
        <v>39.953024911032031</v>
      </c>
      <c r="P192" s="230">
        <f t="shared" ca="1" si="133"/>
        <v>45.087550200803214</v>
      </c>
      <c r="Q192" s="230">
        <f ca="1">IFERROR(__xludf.DUMMYFUNCTION("IMPORTRANGE(""https://docs.google.com/spreadsheets/d/1ItG2mGa2ceCfYo0BwxsXqNm01IGEUdYcSSLTEv9YCik/edit?usp=sharing"",""เบิกจ่ายกองทุน!AV24"")"),28000)</f>
        <v>28000</v>
      </c>
      <c r="R192" s="230">
        <f ca="1">IFERROR(__xludf.DUMMYFUNCTION("IMPORTRANGE(""https://docs.google.com/spreadsheets/d/1ItG2mGa2ceCfYo0BwxsXqNm01IGEUdYcSSLTEv9YCik/edit?usp=sharing"",""เบิกจ่ายกองทุน!AW24"")"),28000)</f>
        <v>28000</v>
      </c>
      <c r="S192" s="230">
        <f ca="1">IFERROR(__xludf.DUMMYFUNCTION("IMPORTRANGE(""https://docs.google.com/spreadsheets/d/1ItG2mGa2ceCfYo0BwxsXqNm01IGEUdYcSSLTEv9YCik/edit?usp=sharing"",""เบิกจ่ายกองทุน!AX24"")"),0)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IFERROR(__xludf.DUMMYFUNCTION("IMPORTRANGE(""https://docs.google.com/spreadsheets/d/1-uDff_7J0KD5mKrp0Vvzr7lt3OU09vwQwhkpOPPYv2Y/edit?usp=sharing"",""งบพรบ!CX24"")"),0)</f>
        <v>0</v>
      </c>
      <c r="M195" s="230">
        <f ca="1">IFERROR(__xludf.DUMMYFUNCTION("IMPORTRANGE(""https://docs.google.com/spreadsheets/d/1-uDff_7J0KD5mKrp0Vvzr7lt3OU09vwQwhkpOPPYv2Y/edit?usp=sharing"",""งบพรบ!DA24"")"),0)</f>
        <v>0</v>
      </c>
      <c r="N195" s="230">
        <f ca="1">IFERROR(__xludf.DUMMYFUNCTION("IMPORTRANGE(""https://docs.google.com/spreadsheets/d/1-uDff_7J0KD5mKrp0Vvzr7lt3OU09vwQwhkpOPPYv2Y/edit?usp=sharing"",""งบพรบ!DC24"")"),0)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2</v>
      </c>
      <c r="K196" s="314">
        <f ca="1">IF(I196&gt;0,J196*100/I196,0)</f>
        <v>50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IFERROR(__xludf.DUMMYFUNCTION("IMPORTRANGE(""https://docs.google.com/spreadsheets/d/1eHaY18a8A9IcSdp1K8H6x8fbOy06t2VsZHhMHf-1x7Y/edit?usp=sharing"",""แผน!AB24"")"),6000)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IFERROR(__xludf.DUMMYFUNCTION("IMPORTRANGE(""https://docs.google.com/spreadsheets/d/1eHaY18a8A9IcSdp1K8H6x8fbOy06t2VsZHhMHf-1x7Y/edit?usp=sharing"",""แผน!AE24"")"),4)</f>
        <v>4</v>
      </c>
      <c r="J199" s="520">
        <v>2</v>
      </c>
      <c r="K199" s="230">
        <f ca="1">IF(I199&gt;0,J199*100/I199,0)</f>
        <v>50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65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65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2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31000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IFERROR(__xludf.DUMMYFUNCTION("IMPORTRANGE(""https://docs.google.com/spreadsheets/d/1eHaY18a8A9IcSdp1K8H6x8fbOy06t2VsZHhMHf-1x7Y/edit?usp=sharing"",""แผน!AG24"")"),2000)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IFERROR(__xludf.DUMMYFUNCTION("IMPORTRANGE(""https://docs.google.com/spreadsheets/d/1eHaY18a8A9IcSdp1K8H6x8fbOy06t2VsZHhMHf-1x7Y/edit?usp=sharing"",""แผน!AH24"")"),0)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IFERROR(__xludf.DUMMYFUNCTION("IMPORTRANGE(""https://docs.google.com/spreadsheets/d/1eHaY18a8A9IcSdp1K8H6x8fbOy06t2VsZHhMHf-1x7Y/edit?usp=sharing"",""แผน!AI24"")"),16000)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IFERROR(__xludf.DUMMYFUNCTION("IMPORTRANGE(""https://docs.google.com/spreadsheets/d/1eHaY18a8A9IcSdp1K8H6x8fbOy06t2VsZHhMHf-1x7Y/edit?usp=sharing"",""แผน!AJ24"")"),13000)</f>
        <v>13000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IFERROR(__xludf.DUMMYFUNCTION("IMPORTRANGE(""https://docs.google.com/spreadsheets/d/1eHaY18a8A9IcSdp1K8H6x8fbOy06t2VsZHhMHf-1x7Y/edit?usp=sharing"",""แผน!AK24"")"),2)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IFERROR(__xludf.DUMMYFUNCTION("IMPORTRANGE(""https://docs.google.com/spreadsheets/d/1eHaY18a8A9IcSdp1K8H6x8fbOy06t2VsZHhMHf-1x7Y/edit?usp=sharing"",""แผน!JX24"")"),2)</f>
        <v>2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IFERROR(__xludf.DUMMYFUNCTION("IMPORTRANGE(""https://docs.google.com/spreadsheets/d/1eHaY18a8A9IcSdp1K8H6x8fbOy06t2VsZHhMHf-1x7Y/edit?usp=sharing"",""แผน!JY24"")"),1)</f>
        <v>1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IFERROR(__xludf.DUMMYFUNCTION("IMPORTRANGE(""https://docs.google.com/spreadsheets/d/1eHaY18a8A9IcSdp1K8H6x8fbOy06t2VsZHhMHf-1x7Y/edit?usp=sharing"",""แผน!AM24"")"),0)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IFERROR(__xludf.DUMMYFUNCTION("IMPORTRANGE(""https://docs.google.com/spreadsheets/d/1eHaY18a8A9IcSdp1K8H6x8fbOy06t2VsZHhMHf-1x7Y/edit?usp=sharing"",""แผน!AN24"")"),0)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IFERROR(__xludf.DUMMYFUNCTION("IMPORTRANGE(""https://docs.google.com/spreadsheets/d/1eHaY18a8A9IcSdp1K8H6x8fbOy06t2VsZHhMHf-1x7Y/edit?usp=sharing"",""แผน!AO24"")"),0)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IFERROR(__xludf.DUMMYFUNCTION("IMPORTRANGE(""https://docs.google.com/spreadsheets/d/1eHaY18a8A9IcSdp1K8H6x8fbOy06t2VsZHhMHf-1x7Y/edit?usp=sharing"",""แผน!AP24"")"),0)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IFERROR(__xludf.DUMMYFUNCTION("IMPORTRANGE(""https://docs.google.com/spreadsheets/d/1eHaY18a8A9IcSdp1K8H6x8fbOy06t2VsZHhMHf-1x7Y/edit?usp=sharing"",""แผน!AP24"")"),0)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100000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12500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IFERROR(__xludf.DUMMYFUNCTION("IMPORTRANGE(""https://docs.google.com/spreadsheets/d/1eHaY18a8A9IcSdp1K8H6x8fbOy06t2VsZHhMHf-1x7Y/edit?usp=sharing"",""แผน!AR24"")"),11000)</f>
        <v>11000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IFERROR(__xludf.DUMMYFUNCTION("IMPORTRANGE(""https://docs.google.com/spreadsheets/d/1eHaY18a8A9IcSdp1K8H6x8fbOy06t2VsZHhMHf-1x7Y/edit?usp=sharing"",""แผน!AS24"")"),1500)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IFERROR(__xludf.DUMMYFUNCTION("IMPORTRANGE(""https://docs.google.com/spreadsheets/d/1eHaY18a8A9IcSdp1K8H6x8fbOy06t2VsZHhMHf-1x7Y/edit?usp=sharing"",""แผน!AT24"")"),0)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IFERROR(__xludf.DUMMYFUNCTION("IMPORTRANGE(""https://docs.google.com/spreadsheets/d/1eHaY18a8A9IcSdp1K8H6x8fbOy06t2VsZHhMHf-1x7Y/edit?usp=sharing"",""แผน!AV24"")"),100000)</f>
        <v>100000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IFERROR(__xludf.DUMMYFUNCTION("IMPORTRANGE(""https://docs.google.com/spreadsheets/d/1eHaY18a8A9IcSdp1K8H6x8fbOy06t2VsZHhMHf-1x7Y/edit?usp=sharing"",""แผน!AV24"")"),100000)</f>
        <v>100000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IFERROR(__xludf.DUMMYFUNCTION("IMPORTRANGE(""https://docs.google.com/spreadsheets/d/1eHaY18a8A9IcSdp1K8H6x8fbOy06t2VsZHhMHf-1x7Y/edit?usp=sharing"",""แผน!AU24"")"),0)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IFERROR(__xludf.DUMMYFUNCTION("IMPORTRANGE(""https://docs.google.com/spreadsheets/d/1eHaY18a8A9IcSdp1K8H6x8fbOy06t2VsZHhMHf-1x7Y/edit?usp=sharing"",""แผน!AX24"")"),0)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IFERROR(__xludf.DUMMYFUNCTION("IMPORTRANGE(""https://docs.google.com/spreadsheets/d/1eHaY18a8A9IcSdp1K8H6x8fbOy06t2VsZHhMHf-1x7Y/edit?usp=sharing"",""แผน!AY24"")"),0)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IFERROR(__xludf.DUMMYFUNCTION("IMPORTRANGE(""https://docs.google.com/spreadsheets/d/1eHaY18a8A9IcSdp1K8H6x8fbOy06t2VsZHhMHf-1x7Y/edit?usp=sharing"",""แผน!AZ24"")"),0)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IFERROR(__xludf.DUMMYFUNCTION("IMPORTRANGE(""https://docs.google.com/spreadsheets/d/1eHaY18a8A9IcSdp1K8H6x8fbOy06t2VsZHhMHf-1x7Y/edit?usp=sharing"",""แผน!BA24"")"),0)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IFERROR(__xludf.DUMMYFUNCTION("IMPORTRANGE(""https://docs.google.com/spreadsheets/d/1eHaY18a8A9IcSdp1K8H6x8fbOy06t2VsZHhMHf-1x7Y/edit?usp=sharing"",""แผน!BG24"")"),0)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IFERROR(__xludf.DUMMYFUNCTION("IMPORTRANGE(""https://docs.google.com/spreadsheets/d/1eHaY18a8A9IcSdp1K8H6x8fbOy06t2VsZHhMHf-1x7Y/edit?usp=sharing"",""แผน!BB24"")"),0)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IFERROR(__xludf.DUMMYFUNCTION("IMPORTRANGE(""https://docs.google.com/spreadsheets/d/1eHaY18a8A9IcSdp1K8H6x8fbOy06t2VsZHhMHf-1x7Y/edit?usp=sharing"",""แผน!BC24"")"),0)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IFERROR(__xludf.DUMMYFUNCTION("IMPORTRANGE(""https://docs.google.com/spreadsheets/d/1eHaY18a8A9IcSdp1K8H6x8fbOy06t2VsZHhMHf-1x7Y/edit?usp=sharing"",""แผน!BD24"")"),0)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IFERROR(__xludf.DUMMYFUNCTION("IMPORTRANGE(""https://docs.google.com/spreadsheets/d/1eHaY18a8A9IcSdp1K8H6x8fbOy06t2VsZHhMHf-1x7Y/edit?usp=sharing"",""แผน!BE24"")"),0)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IFERROR(__xludf.DUMMYFUNCTION("IMPORTRANGE(""https://docs.google.com/spreadsheets/d/1eHaY18a8A9IcSdp1K8H6x8fbOy06t2VsZHhMHf-1x7Y/edit?usp=sharing"",""แผน!BH24"")"),0)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22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50660</v>
      </c>
      <c r="R267" s="583">
        <f t="shared" ca="1" si="164"/>
        <v>50660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50660</v>
      </c>
      <c r="R269" s="592">
        <f t="shared" ca="1" si="168"/>
        <v>50660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50660</v>
      </c>
      <c r="R270" s="592">
        <f t="shared" ca="1" si="170"/>
        <v>50660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IFERROR(__xludf.DUMMYFUNCTION("IMPORTRANGE(""https://docs.google.com/spreadsheets/d/1-uDff_7J0KD5mKrp0Vvzr7lt3OU09vwQwhkpOPPYv2Y/edit?usp=sharing"",""งบพรบ!DE24"")"),0)</f>
        <v>0</v>
      </c>
      <c r="M272" s="592">
        <f ca="1">IFERROR(__xludf.DUMMYFUNCTION("IMPORTRANGE(""https://docs.google.com/spreadsheets/d/1-uDff_7J0KD5mKrp0Vvzr7lt3OU09vwQwhkpOPPYv2Y/edit?usp=sharing"",""งบพรบ!DJ24"")"),5000)</f>
        <v>5000</v>
      </c>
      <c r="N272" s="592">
        <f ca="1">IFERROR(__xludf.DUMMYFUNCTION("IMPORTRANGE(""https://docs.google.com/spreadsheets/d/1-uDff_7J0KD5mKrp0Vvzr7lt3OU09vwQwhkpOPPYv2Y/edit?usp=sharing"",""งบพรบ!DL24"")"),0)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IFERROR(__xludf.DUMMYFUNCTION("IMPORTRANGE(""https://docs.google.com/spreadsheets/d/1ItG2mGa2ceCfYo0BwxsXqNm01IGEUdYcSSLTEv9YCik/edit?usp=sharing"",""เบิกจ่ายกองทุน!AJ24"")"),50660)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IFERROR(__xludf.DUMMYFUNCTION("IMPORTRANGE(""https://docs.google.com/spreadsheets/d/1ItG2mGa2ceCfYo0BwxsXqNm01IGEUdYcSSLTEv9YCik/edit?usp=sharing"",""เบิกจ่ายกองทุน!AK24"")"),50660)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IFERROR(__xludf.DUMMYFUNCTION("IMPORTRANGE(""https://docs.google.com/spreadsheets/d/1ItG2mGa2ceCfYo0BwxsXqNm01IGEUdYcSSLTEv9YCik/edit?usp=sharing"",""เบิกจ่ายกองทุน!AL24"")"),0)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IFERROR(__xludf.DUMMYFUNCTION("IMPORTRANGE(""https://docs.google.com/spreadsheets/d/1-uDff_7J0KD5mKrp0Vvzr7lt3OU09vwQwhkpOPPYv2Y/edit?usp=sharing"",""งบพรบ!DH24"")"),0)</f>
        <v>0</v>
      </c>
      <c r="M275" s="592">
        <f ca="1">IFERROR(__xludf.DUMMYFUNCTION("IMPORTRANGE(""https://docs.google.com/spreadsheets/d/1-uDff_7J0KD5mKrp0Vvzr7lt3OU09vwQwhkpOPPYv2Y/edit?usp=sharing"",""งบพรบ!DK24"")"),0)</f>
        <v>0</v>
      </c>
      <c r="N275" s="592">
        <f ca="1">IFERROR(__xludf.DUMMYFUNCTION("IMPORTRANGE(""https://docs.google.com/spreadsheets/d/1-uDff_7J0KD5mKrp0Vvzr7lt3OU09vwQwhkpOPPYv2Y/edit?usp=sharing"",""งบพรบ!DM24"")"),0)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IFERROR(__xludf.DUMMYFUNCTION("IMPORTRANGE(""https://docs.google.com/spreadsheets/d/1eHaY18a8A9IcSdp1K8H6x8fbOy06t2VsZHhMHf-1x7Y/edit?usp=sharing"",""แผน!EC24"")"),22)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10</v>
      </c>
      <c r="J281" s="619">
        <f t="shared" si="173"/>
        <v>0</v>
      </c>
      <c r="K281" s="620">
        <f t="shared" ref="K281:K282" ca="1" si="174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100</v>
      </c>
      <c r="J282" s="619">
        <f t="shared" si="175"/>
        <v>100</v>
      </c>
      <c r="K282" s="620">
        <f t="shared" ca="1" si="174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56120</v>
      </c>
      <c r="M283" s="515">
        <f t="shared" ca="1" si="176"/>
        <v>56120</v>
      </c>
      <c r="N283" s="515">
        <f t="shared" ca="1" si="176"/>
        <v>30410</v>
      </c>
      <c r="O283" s="515">
        <f t="shared" ref="O283:O291" ca="1" si="177">IF(L283&gt;0,N283*100/L283,0)</f>
        <v>54.187455452601569</v>
      </c>
      <c r="P283" s="515">
        <f t="shared" ref="P283:P291" ca="1" si="178">IF(M283&gt;0,N283*100/M283,0)</f>
        <v>54.187455452601569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56120</v>
      </c>
      <c r="M285" s="230">
        <f t="shared" ca="1" si="182"/>
        <v>56120</v>
      </c>
      <c r="N285" s="230">
        <f t="shared" ca="1" si="182"/>
        <v>30410</v>
      </c>
      <c r="O285" s="230">
        <f t="shared" ca="1" si="177"/>
        <v>54.187455452601569</v>
      </c>
      <c r="P285" s="230">
        <f t="shared" ca="1" si="178"/>
        <v>54.187455452601569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56120</v>
      </c>
      <c r="M286" s="230">
        <f t="shared" ca="1" si="184"/>
        <v>56120</v>
      </c>
      <c r="N286" s="230">
        <f t="shared" ca="1" si="184"/>
        <v>30410</v>
      </c>
      <c r="O286" s="230">
        <f t="shared" ca="1" si="177"/>
        <v>54.187455452601569</v>
      </c>
      <c r="P286" s="230">
        <f t="shared" ca="1" si="178"/>
        <v>54.187455452601569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IFERROR(__xludf.DUMMYFUNCTION("IMPORTRANGE(""https://docs.google.com/spreadsheets/d/1-uDff_7J0KD5mKrp0Vvzr7lt3OU09vwQwhkpOPPYv2Y/edit?usp=sharing"",""งบพรบ!DO24"")"),56120)</f>
        <v>56120</v>
      </c>
      <c r="M288" s="230">
        <f ca="1">IFERROR(__xludf.DUMMYFUNCTION("IMPORTRANGE(""https://docs.google.com/spreadsheets/d/1-uDff_7J0KD5mKrp0Vvzr7lt3OU09vwQwhkpOPPYv2Y/edit?usp=sharing"",""งบพรบ!DT24"")"),56120)</f>
        <v>56120</v>
      </c>
      <c r="N288" s="230">
        <f ca="1">IFERROR(__xludf.DUMMYFUNCTION("IMPORTRANGE(""https://docs.google.com/spreadsheets/d/1-uDff_7J0KD5mKrp0Vvzr7lt3OU09vwQwhkpOPPYv2Y/edit?usp=sharing"",""งบพรบ!DV24"")"),30410)</f>
        <v>30410</v>
      </c>
      <c r="O288" s="230">
        <f t="shared" ca="1" si="177"/>
        <v>54.187455452601569</v>
      </c>
      <c r="P288" s="230">
        <f t="shared" ca="1" si="178"/>
        <v>54.187455452601569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IFERROR(__xludf.DUMMYFUNCTION("IMPORTRANGE(""https://docs.google.com/spreadsheets/d/1-uDff_7J0KD5mKrp0Vvzr7lt3OU09vwQwhkpOPPYv2Y/edit?usp=sharing"",""งบพรบ!DR24"")"),0)</f>
        <v>0</v>
      </c>
      <c r="M291" s="230">
        <f ca="1">IFERROR(__xludf.DUMMYFUNCTION("IMPORTRANGE(""https://docs.google.com/spreadsheets/d/1-uDff_7J0KD5mKrp0Vvzr7lt3OU09vwQwhkpOPPYv2Y/edit?usp=sharing"",""งบพรบ!DU24"")"),0)</f>
        <v>0</v>
      </c>
      <c r="N291" s="230">
        <f ca="1">IFERROR(__xludf.DUMMYFUNCTION("IMPORTRANGE(""https://docs.google.com/spreadsheets/d/1-uDff_7J0KD5mKrp0Vvzr7lt3OU09vwQwhkpOPPYv2Y/edit?usp=sharing"",""งบพรบ!DW24"")"),0)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IFERROR(__xludf.DUMMYFUNCTION("IMPORTRANGE(""https://docs.google.com/spreadsheets/d/1eHaY18a8A9IcSdp1K8H6x8fbOy06t2VsZHhMHf-1x7Y/edit?usp=sharing"",""แผน!EE24"")"),100)</f>
        <v>100</v>
      </c>
      <c r="J293" s="520">
        <v>100</v>
      </c>
      <c r="K293" s="521">
        <f t="shared" ref="K293:K294" ca="1" si="188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IFERROR(__xludf.DUMMYFUNCTION("IMPORTRANGE(""https://docs.google.com/spreadsheets/d/1eHaY18a8A9IcSdp1K8H6x8fbOy06t2VsZHhMHf-1x7Y/edit?usp=sharing"",""แผน!ED24"")"),10)</f>
        <v>10</v>
      </c>
      <c r="J294" s="340">
        <f>J297</f>
        <v>0</v>
      </c>
      <c r="K294" s="518">
        <f t="shared" ca="1" si="188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IFERROR(__xludf.DUMMYFUNCTION("IMPORTRANGE(""https://docs.google.com/spreadsheets/d/1eHaY18a8A9IcSdp1K8H6x8fbOy06t2VsZHhMHf-1x7Y/edit?usp=sharing"",""แผน!ED24"")"),10)</f>
        <v>10</v>
      </c>
      <c r="J296" s="520">
        <v>10</v>
      </c>
      <c r="K296" s="521">
        <f t="shared" ref="K296:K297" ca="1" si="189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IFERROR(__xludf.DUMMYFUNCTION("IMPORTRANGE(""https://docs.google.com/spreadsheets/d/1eHaY18a8A9IcSdp1K8H6x8fbOy06t2VsZHhMHf-1x7Y/edit?usp=sharing"",""แผน!ED24"")"),10)</f>
        <v>10</v>
      </c>
      <c r="J297" s="520">
        <v>0</v>
      </c>
      <c r="K297" s="521">
        <f t="shared" ca="1" si="189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30</v>
      </c>
      <c r="J303" s="623">
        <f t="shared" si="190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0</v>
      </c>
      <c r="M304" s="515">
        <f t="shared" ca="1" si="191"/>
        <v>0</v>
      </c>
      <c r="N304" s="515">
        <f t="shared" ca="1" si="191"/>
        <v>0</v>
      </c>
      <c r="O304" s="515">
        <f t="shared" ref="O304:O312" ca="1" si="192">IF(L304&gt;0,N304*100/L304,0)</f>
        <v>0</v>
      </c>
      <c r="P304" s="515">
        <f t="shared" ref="P304:P312" ca="1" si="193">IF(M304&gt;0,N304*100/M304,0)</f>
        <v>0</v>
      </c>
      <c r="Q304" s="515">
        <f t="shared" ref="Q304:S304" ca="1" si="194">Q305+Q306</f>
        <v>260958.39</v>
      </c>
      <c r="R304" s="515">
        <f t="shared" ca="1" si="194"/>
        <v>260958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0</v>
      </c>
      <c r="M306" s="230">
        <f t="shared" ca="1" si="197"/>
        <v>0</v>
      </c>
      <c r="N306" s="230">
        <f t="shared" ca="1" si="197"/>
        <v>0</v>
      </c>
      <c r="O306" s="230">
        <f t="shared" ca="1" si="192"/>
        <v>0</v>
      </c>
      <c r="P306" s="230">
        <f t="shared" ca="1" si="193"/>
        <v>0</v>
      </c>
      <c r="Q306" s="230">
        <f t="shared" ca="1" si="198"/>
        <v>260958.39</v>
      </c>
      <c r="R306" s="230">
        <f t="shared" ca="1" si="198"/>
        <v>260958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0</v>
      </c>
      <c r="M307" s="230">
        <f t="shared" ca="1" si="199"/>
        <v>0</v>
      </c>
      <c r="N307" s="230">
        <f t="shared" ca="1" si="199"/>
        <v>0</v>
      </c>
      <c r="O307" s="230">
        <f t="shared" ca="1" si="192"/>
        <v>0</v>
      </c>
      <c r="P307" s="230">
        <f t="shared" ca="1" si="193"/>
        <v>0</v>
      </c>
      <c r="Q307" s="230">
        <f t="shared" ref="Q307:S307" ca="1" si="200">Q308+Q309</f>
        <v>260958.39</v>
      </c>
      <c r="R307" s="230">
        <f t="shared" ca="1" si="200"/>
        <v>260958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IFERROR(__xludf.DUMMYFUNCTION("IMPORTRANGE(""https://docs.google.com/spreadsheets/d/1-uDff_7J0KD5mKrp0Vvzr7lt3OU09vwQwhkpOPPYv2Y/edit?usp=sharing"",""งบพรบ!DY24"")"),0)</f>
        <v>0</v>
      </c>
      <c r="M309" s="230">
        <f ca="1">IFERROR(__xludf.DUMMYFUNCTION("IMPORTRANGE(""https://docs.google.com/spreadsheets/d/1-uDff_7J0KD5mKrp0Vvzr7lt3OU09vwQwhkpOPPYv2Y/edit?usp=sharing"",""งบพรบ!ED24"")"),0)</f>
        <v>0</v>
      </c>
      <c r="N309" s="230">
        <f ca="1">IFERROR(__xludf.DUMMYFUNCTION("IMPORTRANGE(""https://docs.google.com/spreadsheets/d/1-uDff_7J0KD5mKrp0Vvzr7lt3OU09vwQwhkpOPPYv2Y/edit?usp=sharing"",""งบพรบ!EF24"")"),0)</f>
        <v>0</v>
      </c>
      <c r="O309" s="230">
        <f t="shared" ca="1" si="192"/>
        <v>0</v>
      </c>
      <c r="P309" s="230">
        <f t="shared" ca="1" si="193"/>
        <v>0</v>
      </c>
      <c r="Q309" s="230">
        <f ca="1">IFERROR(__xludf.DUMMYFUNCTION("IMPORTRANGE(""https://docs.google.com/spreadsheets/d/1ItG2mGa2ceCfYo0BwxsXqNm01IGEUdYcSSLTEv9YCik/edit?usp=sharing"",""เบิกจ่ายกองทุน!AP24"")"),260958.39)</f>
        <v>260958.39</v>
      </c>
      <c r="R309" s="230">
        <f ca="1">IFERROR(__xludf.DUMMYFUNCTION("IMPORTRANGE(""https://docs.google.com/spreadsheets/d/1ItG2mGa2ceCfYo0BwxsXqNm01IGEUdYcSSLTEv9YCik/edit?usp=sharing"",""เบิกจ่ายกองทุน!AQ24"")"),260958)</f>
        <v>260958</v>
      </c>
      <c r="S309" s="230">
        <f ca="1">IFERROR(__xludf.DUMMYFUNCTION("IMPORTRANGE(""https://docs.google.com/spreadsheets/d/1ItG2mGa2ceCfYo0BwxsXqNm01IGEUdYcSSLTEv9YCik/edit?usp=sharing"",""เบิกจ่ายกองทุน!AR24"")"),0)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IFERROR(__xludf.DUMMYFUNCTION("IMPORTRANGE(""https://docs.google.com/spreadsheets/d/1-uDff_7J0KD5mKrp0Vvzr7lt3OU09vwQwhkpOPPYv2Y/edit?usp=sharing"",""งบพรบ!EB24"")"),0)</f>
        <v>0</v>
      </c>
      <c r="M312" s="230">
        <f ca="1">IFERROR(__xludf.DUMMYFUNCTION("IMPORTRANGE(""https://docs.google.com/spreadsheets/d/1-uDff_7J0KD5mKrp0Vvzr7lt3OU09vwQwhkpOPPYv2Y/edit?usp=sharing"",""งบพรบ!EE24"")"),0)</f>
        <v>0</v>
      </c>
      <c r="N312" s="230">
        <f ca="1">IFERROR(__xludf.DUMMYFUNCTION("IMPORTRANGE(""https://docs.google.com/spreadsheets/d/1-uDff_7J0KD5mKrp0Vvzr7lt3OU09vwQwhkpOPPYv2Y/edit?usp=sharing"",""งบพรบ!EG24"")"),0)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IFERROR(__xludf.DUMMYFUNCTION("IMPORTRANGE(""https://docs.google.com/spreadsheets/d/1eHaY18a8A9IcSdp1K8H6x8fbOy06t2VsZHhMHf-1x7Y/edit?usp=sharing"",""แผน!EF24"")"),30)</f>
        <v>30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IFERROR(__xludf.DUMMYFUNCTION("IMPORTRANGE(""https://docs.google.com/spreadsheets/d/1-uDff_7J0KD5mKrp0Vvzr7lt3OU09vwQwhkpOPPYv2Y/edit?usp=sharing"",""งบพรบ!EI24"")"),0)</f>
        <v>0</v>
      </c>
      <c r="M326" s="230">
        <f ca="1">IFERROR(__xludf.DUMMYFUNCTION("IMPORTRANGE(""https://docs.google.com/spreadsheets/d/1-uDff_7J0KD5mKrp0Vvzr7lt3OU09vwQwhkpOPPYv2Y/edit?usp=sharing"",""งบพรบ!EN24"")"),0)</f>
        <v>0</v>
      </c>
      <c r="N326" s="230">
        <f ca="1">IFERROR(__xludf.DUMMYFUNCTION("IMPORTRANGE(""https://docs.google.com/spreadsheets/d/1-uDff_7J0KD5mKrp0Vvzr7lt3OU09vwQwhkpOPPYv2Y/edit?usp=sharing"",""งบพรบ!EP24"")"),0)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IFERROR(__xludf.DUMMYFUNCTION("IMPORTRANGE(""https://docs.google.com/spreadsheets/d/1-uDff_7J0KD5mKrp0Vvzr7lt3OU09vwQwhkpOPPYv2Y/edit?usp=sharing"",""งบพรบ!EL24"")"),0)</f>
        <v>0</v>
      </c>
      <c r="M329" s="230">
        <f ca="1">IFERROR(__xludf.DUMMYFUNCTION("IMPORTRANGE(""https://docs.google.com/spreadsheets/d/1-uDff_7J0KD5mKrp0Vvzr7lt3OU09vwQwhkpOPPYv2Y/edit?usp=sharing"",""งบพรบ!EO24"")"),0)</f>
        <v>0</v>
      </c>
      <c r="N329" s="230">
        <f ca="1">IFERROR(__xludf.DUMMYFUNCTION("IMPORTRANGE(""https://docs.google.com/spreadsheets/d/1-uDff_7J0KD5mKrp0Vvzr7lt3OU09vwQwhkpOPPYv2Y/edit?usp=sharing"",""งบพรบ!EQ24"")"),0)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IFERROR(__xludf.DUMMYFUNCTION("IMPORTRANGE(""https://docs.google.com/spreadsheets/d/1eHaY18a8A9IcSdp1K8H6x8fbOy06t2VsZHhMHf-1x7Y/edit?usp=sharing"",""แผน!EJ24"")"),0)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1140</v>
      </c>
      <c r="J333" s="635">
        <f ca="1">J345+J348+J349+J350+J354</f>
        <v>3291</v>
      </c>
      <c r="K333" s="636">
        <f ca="1">IF(I333&gt;0,J333*100/I333,0)</f>
        <v>288.68421052631578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108000</v>
      </c>
      <c r="M334" s="515">
        <f t="shared" ca="1" si="216"/>
        <v>113000</v>
      </c>
      <c r="N334" s="515">
        <f t="shared" ca="1" si="216"/>
        <v>59006</v>
      </c>
      <c r="O334" s="515">
        <f t="shared" ref="O334:O342" ca="1" si="217">IF(L334&gt;0,N334*100/L334,0)</f>
        <v>54.635185185185186</v>
      </c>
      <c r="P334" s="515">
        <f t="shared" ref="P334:P342" ca="1" si="218">IF(M334&gt;0,N334*100/M334,0)</f>
        <v>52.217699115044248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108000</v>
      </c>
      <c r="M336" s="230">
        <f t="shared" ca="1" si="222"/>
        <v>113000</v>
      </c>
      <c r="N336" s="230">
        <f t="shared" ca="1" si="222"/>
        <v>59006</v>
      </c>
      <c r="O336" s="230">
        <f t="shared" ca="1" si="217"/>
        <v>54.635185185185186</v>
      </c>
      <c r="P336" s="230">
        <f t="shared" ca="1" si="218"/>
        <v>52.217699115044248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108000</v>
      </c>
      <c r="M337" s="230">
        <f t="shared" ca="1" si="224"/>
        <v>113000</v>
      </c>
      <c r="N337" s="230">
        <f t="shared" ca="1" si="224"/>
        <v>59006</v>
      </c>
      <c r="O337" s="230">
        <f t="shared" ca="1" si="217"/>
        <v>54.635185185185186</v>
      </c>
      <c r="P337" s="230">
        <f t="shared" ca="1" si="218"/>
        <v>52.217699115044248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IFERROR(__xludf.DUMMYFUNCTION("IMPORTRANGE(""https://docs.google.com/spreadsheets/d/1-uDff_7J0KD5mKrp0Vvzr7lt3OU09vwQwhkpOPPYv2Y/edit?usp=sharing"",""งบพรบ!ES24"")"),108000)</f>
        <v>108000</v>
      </c>
      <c r="M339" s="230">
        <f ca="1">IFERROR(__xludf.DUMMYFUNCTION("IMPORTRANGE(""https://docs.google.com/spreadsheets/d/1-uDff_7J0KD5mKrp0Vvzr7lt3OU09vwQwhkpOPPYv2Y/edit?usp=sharing"",""งบพรบ!EX24"")"),113000)</f>
        <v>113000</v>
      </c>
      <c r="N339" s="230">
        <f ca="1">IFERROR(__xludf.DUMMYFUNCTION("IMPORTRANGE(""https://docs.google.com/spreadsheets/d/1-uDff_7J0KD5mKrp0Vvzr7lt3OU09vwQwhkpOPPYv2Y/edit?usp=sharing"",""งบพรบ!EZ24"")"),59006)</f>
        <v>59006</v>
      </c>
      <c r="O339" s="230">
        <f t="shared" ca="1" si="217"/>
        <v>54.635185185185186</v>
      </c>
      <c r="P339" s="230">
        <f t="shared" ca="1" si="218"/>
        <v>52.217699115044248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IFERROR(__xludf.DUMMYFUNCTION("IMPORTRANGE(""https://docs.google.com/spreadsheets/d/1-uDff_7J0KD5mKrp0Vvzr7lt3OU09vwQwhkpOPPYv2Y/edit?usp=sharing"",""งบพรบ!EV24"")"),0)</f>
        <v>0</v>
      </c>
      <c r="M342" s="230">
        <f ca="1">IFERROR(__xludf.DUMMYFUNCTION("IMPORTRANGE(""https://docs.google.com/spreadsheets/d/1-uDff_7J0KD5mKrp0Vvzr7lt3OU09vwQwhkpOPPYv2Y/edit?usp=sharing"",""งบพรบ!EY24"")"),0)</f>
        <v>0</v>
      </c>
      <c r="N342" s="230">
        <f ca="1">IFERROR(__xludf.DUMMYFUNCTION("IMPORTRANGE(""https://docs.google.com/spreadsheets/d/1-uDff_7J0KD5mKrp0Vvzr7lt3OU09vwQwhkpOPPYv2Y/edit?usp=sharing"",""งบพรบ!FA24"")"),0)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647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IFERROR(__xludf.DUMMYFUNCTION("IMPORTRANGE(""https://docs.google.com/spreadsheets/d/1eHaY18a8A9IcSdp1K8H6x8fbOy06t2VsZHhMHf-1x7Y/edit?usp=sharing"",""แผน!EK24"")"),1140)</f>
        <v>1140</v>
      </c>
      <c r="J345" s="189">
        <f ca="1">IFERROR(__xludf.DUMMYFUNCTION("IMPORTRANGE(""https://docs.google.com/spreadsheets/d/1awYsYK3VOup2i3Pq_Yjnu8DRu_mYwSBnCR2QPthd0rU/edit?usp=sharing"",""ศูนย์ยกเว้นโฉนด!D24"")"),630)</f>
        <v>630</v>
      </c>
      <c r="K345" s="230">
        <f ca="1">IF(I345&gt;0,J345*100/I345,0)</f>
        <v>55.263157894736842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IFERROR(__xludf.DUMMYFUNCTION("IMPORTRANGE(""https://docs.google.com/spreadsheets/d/1eHaY18a8A9IcSdp1K8H6x8fbOy06t2VsZHhMHf-1x7Y/edit?usp=sharing"",""แผน!EL24"")"),4)</f>
        <v>4</v>
      </c>
      <c r="J347" s="189">
        <f ca="1">IFERROR(__xludf.DUMMYFUNCTION("IMPORTRANGE(""https://docs.google.com/spreadsheets/d/1awYsYK3VOup2i3Pq_Yjnu8DRu_mYwSBnCR2QPthd0rU/edit?usp=sharing"",""ศูนย์รวม!E24"")"),1)</f>
        <v>1</v>
      </c>
      <c r="K347" s="230">
        <f ca="1">IF(I347&gt;0,J347*100/I347,0)</f>
        <v>25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IFERROR(__xludf.DUMMYFUNCTION("IMPORTRANGE(""https://docs.google.com/spreadsheets/d/1awYsYK3VOup2i3Pq_Yjnu8DRu_mYwSBnCR2QPthd0rU/edit?usp=sharing"",""ศูนย์ยกเว้นโฉนด!F24"")"),0)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IFERROR(__xludf.DUMMYFUNCTION("IMPORTRANGE(""https://docs.google.com/spreadsheets/d/1awYsYK3VOup2i3Pq_Yjnu8DRu_mYwSBnCR2QPthd0rU/edit?usp=sharing"",""ศูนย์ยกเว้นโฉนด!G24"")"),17)</f>
        <v>17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IFERROR(__xludf.DUMMYFUNCTION("IMPORTRANGE(""https://docs.google.com/spreadsheets/d/1awYsYK3VOup2i3Pq_Yjnu8DRu_mYwSBnCR2QPthd0rU/edit?usp=sharing"",""ศูนย์ยกเว้นโฉนด!H24"")"),0)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4033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IFERROR(__xludf.DUMMYFUNCTION("IMPORTRANGE(""https://docs.google.com/spreadsheets/d/1awYsYK3VOup2i3Pq_Yjnu8DRu_mYwSBnCR2QPthd0rU/edit?usp=sharing"",""โฉนดM3!G24"")"),1389)</f>
        <v>1389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IFERROR(__xludf.DUMMYFUNCTION("IMPORTRANGE(""https://docs.google.com/spreadsheets/d/1awYsYK3VOup2i3Pq_Yjnu8DRu_mYwSBnCR2QPthd0rU/edit?usp=sharing"",""โฉนดM3!H24"")"),2644)</f>
        <v>2644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422685</v>
      </c>
      <c r="M357" s="515">
        <f t="shared" ca="1" si="228"/>
        <v>422685</v>
      </c>
      <c r="N357" s="515">
        <f t="shared" ca="1" si="228"/>
        <v>196589</v>
      </c>
      <c r="O357" s="515">
        <f t="shared" ref="O357:O365" ca="1" si="229">IF(L357&gt;0,N357*100/L357,0)</f>
        <v>46.509575688751674</v>
      </c>
      <c r="P357" s="515">
        <f t="shared" ref="P357:P365" ca="1" si="230">IF(M357&gt;0,N357*100/M357,0)</f>
        <v>46.509575688751674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422685</v>
      </c>
      <c r="M359" s="230">
        <f t="shared" ca="1" si="234"/>
        <v>422685</v>
      </c>
      <c r="N359" s="230">
        <f t="shared" ca="1" si="234"/>
        <v>196589</v>
      </c>
      <c r="O359" s="230">
        <f t="shared" ca="1" si="229"/>
        <v>46.509575688751674</v>
      </c>
      <c r="P359" s="230">
        <f t="shared" ca="1" si="230"/>
        <v>46.509575688751674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422685</v>
      </c>
      <c r="M360" s="230">
        <f t="shared" ca="1" si="236"/>
        <v>422685</v>
      </c>
      <c r="N360" s="230">
        <f t="shared" ca="1" si="236"/>
        <v>196589</v>
      </c>
      <c r="O360" s="230">
        <f t="shared" ca="1" si="229"/>
        <v>46.509575688751674</v>
      </c>
      <c r="P360" s="230">
        <f t="shared" ca="1" si="230"/>
        <v>46.509575688751674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IFERROR(__xludf.DUMMYFUNCTION("IMPORTRANGE(""https://docs.google.com/spreadsheets/d/1-uDff_7J0KD5mKrp0Vvzr7lt3OU09vwQwhkpOPPYv2Y/edit?usp=sharing"",""งบพรบ!FC24"")"),422685)</f>
        <v>422685</v>
      </c>
      <c r="M362" s="230">
        <f ca="1">IFERROR(__xludf.DUMMYFUNCTION("IMPORTRANGE(""https://docs.google.com/spreadsheets/d/1-uDff_7J0KD5mKrp0Vvzr7lt3OU09vwQwhkpOPPYv2Y/edit?usp=sharing"",""งบพรบ!FH24"")"),422685)</f>
        <v>422685</v>
      </c>
      <c r="N362" s="230">
        <f ca="1">IFERROR(__xludf.DUMMYFUNCTION("IMPORTRANGE(""https://docs.google.com/spreadsheets/d/1-uDff_7J0KD5mKrp0Vvzr7lt3OU09vwQwhkpOPPYv2Y/edit?usp=sharing"",""งบพรบ!FJ24"")"),196589)</f>
        <v>196589</v>
      </c>
      <c r="O362" s="230">
        <f t="shared" ca="1" si="229"/>
        <v>46.509575688751674</v>
      </c>
      <c r="P362" s="230">
        <f t="shared" ca="1" si="230"/>
        <v>46.509575688751674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IFERROR(__xludf.DUMMYFUNCTION("IMPORTRANGE(""https://docs.google.com/spreadsheets/d/1-uDff_7J0KD5mKrp0Vvzr7lt3OU09vwQwhkpOPPYv2Y/edit?usp=sharing"",""งบพรบ!FF24"")"),0)</f>
        <v>0</v>
      </c>
      <c r="M365" s="230">
        <f ca="1">IFERROR(__xludf.DUMMYFUNCTION("IMPORTRANGE(""https://docs.google.com/spreadsheets/d/1-uDff_7J0KD5mKrp0Vvzr7lt3OU09vwQwhkpOPPYv2Y/edit?usp=sharing"",""งบพรบ!FI24"")"),0)</f>
        <v>0</v>
      </c>
      <c r="N365" s="230">
        <f ca="1">IFERROR(__xludf.DUMMYFUNCTION("IMPORTRANGE(""https://docs.google.com/spreadsheets/d/1-uDff_7J0KD5mKrp0Vvzr7lt3OU09vwQwhkpOPPYv2Y/edit?usp=sharing"",""งบพรบ!FK24"")"),0)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134</v>
      </c>
      <c r="J366" s="313">
        <f t="shared" ca="1" si="240"/>
        <v>120</v>
      </c>
      <c r="K366" s="314">
        <f ca="1">IF(I366&gt;0,J366*100/I366,0)</f>
        <v>89.552238805970148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IFERROR(__xludf.DUMMYFUNCTION("IMPORTRANGE(""https://docs.google.com/spreadsheets/d/1tdoBKaGub7dwA3U6UFTqxio9LNnvDCQjHKmttSEBsFQ/edit?usp=sharing"",""จัดที่ดิน!AB24"")"),48)</f>
        <v>48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IFERROR(__xludf.DUMMYFUNCTION("IMPORTRANGE(""https://docs.google.com/spreadsheets/d/1eHaY18a8A9IcSdp1K8H6x8fbOy06t2VsZHhMHf-1x7Y/edit?usp=sharing"",""แผน!EW24"")"),1180)</f>
        <v>1180</v>
      </c>
      <c r="J369" s="646">
        <f ca="1">IFERROR(__xludf.DUMMYFUNCTION("IMPORTRANGE(""https://docs.google.com/spreadsheets/d/1tdoBKaGub7dwA3U6UFTqxio9LNnvDCQjHKmttSEBsFQ/edit?usp=sharing"",""จัดที่ดิน!AC24"")"),295.25)</f>
        <v>295.25</v>
      </c>
      <c r="K369" s="230">
        <f t="shared" ca="1" si="241"/>
        <v>25.021186440677965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IFERROR(__xludf.DUMMYFUNCTION("IMPORTRANGE(""https://docs.google.com/spreadsheets/d/1eHaY18a8A9IcSdp1K8H6x8fbOy06t2VsZHhMHf-1x7Y/edit?usp=sharing"",""แผน!EX24"")"),191)</f>
        <v>191</v>
      </c>
      <c r="J370" s="189">
        <f ca="1">IFERROR(__xludf.DUMMYFUNCTION("IMPORTRANGE(""https://docs.google.com/spreadsheets/d/1tdoBKaGub7dwA3U6UFTqxio9LNnvDCQjHKmttSEBsFQ/edit?usp=sharing"",""จัดที่ดิน!AD24"")"),120)</f>
        <v>120</v>
      </c>
      <c r="K370" s="230">
        <f t="shared" ca="1" si="241"/>
        <v>62.827225130890049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IFERROR(__xludf.DUMMYFUNCTION("IMPORTRANGE(""https://docs.google.com/spreadsheets/d/1tdoBKaGub7dwA3U6UFTqxio9LNnvDCQjHKmttSEBsFQ/edit?usp=sharing"",""จัดที่ดิน!AE24"")"),1041.57)</f>
        <v>1041.57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IFERROR(__xludf.DUMMYFUNCTION("IMPORTRANGE(""https://docs.google.com/spreadsheets/d/1eHaY18a8A9IcSdp1K8H6x8fbOy06t2VsZHhMHf-1x7Y/edit?usp=sharing"",""แผน!EY24"")"),134)</f>
        <v>134</v>
      </c>
      <c r="J372" s="189">
        <f ca="1">IFERROR(__xludf.DUMMYFUNCTION("IMPORTRANGE(""https://docs.google.com/spreadsheets/d/1tdoBKaGub7dwA3U6UFTqxio9LNnvDCQjHKmttSEBsFQ/edit?usp=sharing"",""จัดที่ดิน!AF24"")"),120)</f>
        <v>120</v>
      </c>
      <c r="K372" s="230">
        <f t="shared" ca="1" si="241"/>
        <v>89.552238805970148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IFERROR(__xludf.DUMMYFUNCTION("IMPORTRANGE(""https://docs.google.com/spreadsheets/d/1tdoBKaGub7dwA3U6UFTqxio9LNnvDCQjHKmttSEBsFQ/edit?usp=sharing"",""จัดที่ดิน!AG24"")"),1041.57)</f>
        <v>1041.57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1000</v>
      </c>
      <c r="J375" s="654">
        <f t="shared" ca="1" si="242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62500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62500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62500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IFERROR(__xludf.DUMMYFUNCTION("IMPORTRANGE(""https://docs.google.com/spreadsheets/d/1ItG2mGa2ceCfYo0BwxsXqNm01IGEUdYcSSLTEv9YCik/edit?usp=sharing"",""เบิกจ่ายกองทุน!AY24"")"),62500)</f>
        <v>62500</v>
      </c>
      <c r="R381" s="230">
        <f ca="1">IFERROR(__xludf.DUMMYFUNCTION("IMPORTRANGE(""https://docs.google.com/spreadsheets/d/1ItG2mGa2ceCfYo0BwxsXqNm01IGEUdYcSSLTEv9YCik/edit?usp=sharing"",""เบิกจ่ายกองทุน!AZ24"")"),0)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IFERROR(__xludf.DUMMYFUNCTION("IMPORTRANGE(""https://docs.google.com/spreadsheets/d/1ItG2mGa2ceCfYo0BwxsXqNm01IGEUdYcSSLTEv9YCik/edit?usp=sharing"",""เบิกจ่ายกองทุน!BA24"")"),0)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IFERROR(__xludf.DUMMYFUNCTION("IMPORTRANGE(""https://docs.google.com/spreadsheets/d/1w5rwWK1o49a35cNtocGL0gxDwhFSTZUQu90BiH9_zqM/edit?usp=sharing"",""RTK!H24"")"),0)</f>
        <v>0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IFERROR(__xludf.DUMMYFUNCTION("IMPORTRANGE(""https://docs.google.com/spreadsheets/d/1w5rwWK1o49a35cNtocGL0gxDwhFSTZUQu90BiH9_zqM/edit?usp=sharing"",""RTK!G24"")"),1000)</f>
        <v>1000</v>
      </c>
      <c r="J387" s="189">
        <f ca="1">IFERROR(__xludf.DUMMYFUNCTION("IMPORTRANGE(""https://docs.google.com/spreadsheets/d/1w5rwWK1o49a35cNtocGL0gxDwhFSTZUQu90BiH9_zqM/edit?usp=sharing"",""RTK!I24"")"),0)</f>
        <v>0</v>
      </c>
      <c r="K387" s="230">
        <f t="shared" ca="1" si="255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156"/>
      <c r="B388" s="156"/>
      <c r="C388" s="156"/>
      <c r="D388" s="156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IFERROR(__xludf.DUMMYFUNCTION("IMPORTRANGE(""https://docs.google.com/spreadsheets/d/1w5rwWK1o49a35cNtocGL0gxDwhFSTZUQu90BiH9_zqM/edit?usp=sharing"",""RTK!L24"")"),0)</f>
        <v>0</v>
      </c>
      <c r="K388" s="592">
        <f t="shared" si="255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156"/>
      <c r="B389" s="156"/>
      <c r="C389" s="156"/>
      <c r="D389" s="156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IFERROR(__xludf.DUMMYFUNCTION("IMPORTRANGE(""https://docs.google.com/spreadsheets/d/1w5rwWK1o49a35cNtocGL0gxDwhFSTZUQu90BiH9_zqM/edit?usp=sharing"",""RTK!K24"")"),0)</f>
        <v>0</v>
      </c>
      <c r="J389" s="661">
        <f ca="1">IFERROR(__xludf.DUMMYFUNCTION("IMPORTRANGE(""https://docs.google.com/spreadsheets/d/1w5rwWK1o49a35cNtocGL0gxDwhFSTZUQu90BiH9_zqM/edit?usp=sharing"",""RTK!M24"")"),0)</f>
        <v>0</v>
      </c>
      <c r="K389" s="592">
        <f t="shared" ca="1" si="255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IFERROR(__xludf.DUMMYFUNCTION("IMPORTRANGE(""https://docs.google.com/spreadsheets/d/1ItG2mGa2ceCfYo0BwxsXqNm01IGEUdYcSSLTEv9YCik/edit?usp=sharing"",""เบิกจ่ายกองทุน!BH24"")"),0)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IFERROR(__xludf.DUMMYFUNCTION("IMPORTRANGE(""https://docs.google.com/spreadsheets/d/1ItG2mGa2ceCfYo0BwxsXqNm01IGEUdYcSSLTEv9YCik/edit?usp=sharing"",""เบิกจ่ายกองทุน!BI24"")"),0)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IFERROR(__xludf.DUMMYFUNCTION("IMPORTRANGE(""https://docs.google.com/spreadsheets/d/1ItG2mGa2ceCfYo0BwxsXqNm01IGEUdYcSSLTEv9YCik/edit?usp=sharing"",""เบิกจ่ายกองทุน!BJ24"")"),0)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IFERROR(__xludf.DUMMYFUNCTION("IMPORTRANGE(""https://docs.google.com/spreadsheets/d/1eHaY18a8A9IcSdp1K8H6x8fbOy06t2VsZHhMHf-1x7Y/edit?usp=sharing"",""แผน!HJ24"")"),0)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IFERROR(__xludf.DUMMYFUNCTION("IMPORTRANGE(""https://docs.google.com/spreadsheets/d/1eHaY18a8A9IcSdp1K8H6x8fbOy06t2VsZHhMHf-1x7Y/edit?usp=sharing"",""แผน!HK24"")"),0)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IFERROR(__xludf.DUMMYFUNCTION("IMPORTRANGE(""https://docs.google.com/spreadsheets/d/1eHaY18a8A9IcSdp1K8H6x8fbOy06t2VsZHhMHf-1x7Y/edit?usp=sharing"",""แผน!HJ24"")"),0)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IFERROR(__xludf.DUMMYFUNCTION("IMPORTRANGE(""https://docs.google.com/spreadsheets/d/1eHaY18a8A9IcSdp1K8H6x8fbOy06t2VsZHhMHf-1x7Y/edit?usp=sharing"",""แผน!HK24"")"),0)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IFERROR(__xludf.DUMMYFUNCTION("IMPORTRANGE(""https://docs.google.com/spreadsheets/d/1eHaY18a8A9IcSdp1K8H6x8fbOy06t2VsZHhMHf-1x7Y/edit?usp=sharing"",""แผน!HJ24"")"),0)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IFERROR(__xludf.DUMMYFUNCTION("IMPORTRANGE(""https://docs.google.com/spreadsheets/d/1eHaY18a8A9IcSdp1K8H6x8fbOy06t2VsZHhMHf-1x7Y/edit?usp=sharing"",""แผน!HK24"")"),0)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IFERROR(__xludf.DUMMYFUNCTION("IMPORTRANGE(""https://docs.google.com/spreadsheets/d/1eHaY18a8A9IcSdp1K8H6x8fbOy06t2VsZHhMHf-1x7Y/edit?usp=sharing"",""แผน!HL24"")"),0)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IFERROR(__xludf.DUMMYFUNCTION("IMPORTRANGE(""https://docs.google.com/spreadsheets/d/1eHaY18a8A9IcSdp1K8H6x8fbOy06t2VsZHhMHf-1x7Y/edit?usp=sharing"",""แผน!HM24"")"),0)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IFERROR(__xludf.DUMMYFUNCTION("IMPORTRANGE(""https://docs.google.com/spreadsheets/d/1eHaY18a8A9IcSdp1K8H6x8fbOy06t2VsZHhMHf-1x7Y/edit?usp=sharing"",""แผน!HN24"")"),0)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IFERROR(__xludf.DUMMYFUNCTION("IMPORTRANGE(""https://docs.google.com/spreadsheets/d/1eHaY18a8A9IcSdp1K8H6x8fbOy06t2VsZHhMHf-1x7Y/edit?usp=sharing"",""แผน!HO24"")"),0)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IFERROR(__xludf.DUMMYFUNCTION("IMPORTRANGE(""https://docs.google.com/spreadsheets/d/1ItG2mGa2ceCfYo0BwxsXqNm01IGEUdYcSSLTEv9YCik/edit?usp=sharing"",""เบิกจ่ายกองทุน!X24"")"),0)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IFERROR(__xludf.DUMMYFUNCTION("IMPORTRANGE(""https://docs.google.com/spreadsheets/d/1ItG2mGa2ceCfYo0BwxsXqNm01IGEUdYcSSLTEv9YCik/edit?usp=sharing"",""เบิกจ่ายกองทุน!Y24"")"),0)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IFERROR(__xludf.DUMMYFUNCTION("IMPORTRANGE(""https://docs.google.com/spreadsheets/d/1ItG2mGa2ceCfYo0BwxsXqNm01IGEUdYcSSLTEv9YCik/edit?usp=sharing"",""เบิกจ่ายกองทุน!Z24"")"),0)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IFERROR(__xludf.DUMMYFUNCTION("IMPORTRANGE(""https://docs.google.com/spreadsheets/d/1eHaY18a8A9IcSdp1K8H6x8fbOy06t2VsZHhMHf-1x7Y/edit?usp=sharing"",""แผน!GX24"")"),0)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IFERROR(__xludf.DUMMYFUNCTION("IMPORTRANGE(""https://docs.google.com/spreadsheets/d/1eHaY18a8A9IcSdp1K8H6x8fbOy06t2VsZHhMHf-1x7Y/edit?usp=sharing"",""แผน!GY24"")"),0)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IFERROR(__xludf.DUMMYFUNCTION("IMPORTRANGE(""https://docs.google.com/spreadsheets/d/1eHaY18a8A9IcSdp1K8H6x8fbOy06t2VsZHhMHf-1x7Y/edit?usp=sharing"",""แผน!GZ24"")"),0)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IFERROR(__xludf.DUMMYFUNCTION("IMPORTRANGE(""https://docs.google.com/spreadsheets/d/1eHaY18a8A9IcSdp1K8H6x8fbOy06t2VsZHhMHf-1x7Y/edit?usp=sharing"",""แผน!HA24"")"),0)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IFERROR(__xludf.DUMMYFUNCTION("IMPORTRANGE(""https://docs.google.com/spreadsheets/d/1eHaY18a8A9IcSdp1K8H6x8fbOy06t2VsZHhMHf-1x7Y/edit?usp=sharing"",""แผน!HB24"")"),0)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IFERROR(__xludf.DUMMYFUNCTION("IMPORTRANGE(""https://docs.google.com/spreadsheets/d/1eHaY18a8A9IcSdp1K8H6x8fbOy06t2VsZHhMHf-1x7Y/edit?usp=sharing"",""แผน!HC24"")"),0)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IFERROR(__xludf.DUMMYFUNCTION("IMPORTRANGE(""https://docs.google.com/spreadsheets/d/1-uDff_7J0KD5mKrp0Vvzr7lt3OU09vwQwhkpOPPYv2Y/edit?usp=sharing"",""งบพรบ!FM24"")"),0)</f>
        <v>0</v>
      </c>
      <c r="M519" s="230">
        <f ca="1">IFERROR(__xludf.DUMMYFUNCTION("IMPORTRANGE(""https://docs.google.com/spreadsheets/d/1-uDff_7J0KD5mKrp0Vvzr7lt3OU09vwQwhkpOPPYv2Y/edit?usp=sharing"",""งบพรบ!FR24"")"),0)</f>
        <v>0</v>
      </c>
      <c r="N519" s="230">
        <f ca="1">IFERROR(__xludf.DUMMYFUNCTION("IMPORTRANGE(""https://docs.google.com/spreadsheets/d/1-uDff_7J0KD5mKrp0Vvzr7lt3OU09vwQwhkpOPPYv2Y/edit?usp=sharing"",""งบพรบ!FT24"")"),0)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IFERROR(__xludf.DUMMYFUNCTION("IMPORTRANGE(""https://docs.google.com/spreadsheets/d/1-uDff_7J0KD5mKrp0Vvzr7lt3OU09vwQwhkpOPPYv2Y/edit?usp=sharing"",""งบพรบ!FP24"")"),0)</f>
        <v>0</v>
      </c>
      <c r="M522" s="230">
        <f ca="1">IFERROR(__xludf.DUMMYFUNCTION("IMPORTRANGE(""https://docs.google.com/spreadsheets/d/1-uDff_7J0KD5mKrp0Vvzr7lt3OU09vwQwhkpOPPYv2Y/edit?usp=sharing"",""งบพรบ!FS24"")"),0)</f>
        <v>0</v>
      </c>
      <c r="N522" s="230">
        <f ca="1">IFERROR(__xludf.DUMMYFUNCTION("IMPORTRANGE(""https://docs.google.com/spreadsheets/d/1-uDff_7J0KD5mKrp0Vvzr7lt3OU09vwQwhkpOPPYv2Y/edit?usp=sharing"",""งบพรบ!FU24"")"),0)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50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7300</v>
      </c>
      <c r="R617" s="515">
        <f t="shared" ca="1" si="383"/>
        <v>7300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7300</v>
      </c>
      <c r="R619" s="230">
        <f t="shared" ca="1" si="387"/>
        <v>7300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7300</v>
      </c>
      <c r="R620" s="230">
        <f t="shared" ca="1" si="389"/>
        <v>7300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IFERROR(__xludf.DUMMYFUNCTION("IMPORTRANGE(""https://docs.google.com/spreadsheets/d/1ItG2mGa2ceCfYo0BwxsXqNm01IGEUdYcSSLTEv9YCik/edit?usp=sharing"",""เบิกจ่ายกองทุน!F24"")"),7300)</f>
        <v>7300</v>
      </c>
      <c r="R622" s="230">
        <f ca="1">IFERROR(__xludf.DUMMYFUNCTION("IMPORTRANGE(""https://docs.google.com/spreadsheets/d/1ItG2mGa2ceCfYo0BwxsXqNm01IGEUdYcSSLTEv9YCik/edit?usp=sharing"",""เบิกจ่ายกองทุน!G24"")"),7300)</f>
        <v>7300</v>
      </c>
      <c r="S622" s="230">
        <f ca="1">IFERROR(__xludf.DUMMYFUNCTION("IMPORTRANGE(""https://docs.google.com/spreadsheets/d/1ItG2mGa2ceCfYo0BwxsXqNm01IGEUdYcSSLTEv9YCik/edit?usp=sharing"",""เบิกจ่ายกองทุน!H24"")"),0)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IFERROR(__xludf.DUMMYFUNCTION("IMPORTRANGE(""https://docs.google.com/spreadsheets/d/1eHaY18a8A9IcSdp1K8H6x8fbOy06t2VsZHhMHf-1x7Y/edit?usp=sharing"",""แผน!ID24"")"),50)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IFERROR(__xludf.DUMMYFUNCTION("IMPORTRANGE(""https://docs.google.com/spreadsheets/d/1eHaY18a8A9IcSdp1K8H6x8fbOy06t2VsZHhMHf-1x7Y/edit?usp=sharing"",""แผน!IC24"")"),1)</f>
        <v>1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IFERROR(__xludf.DUMMYFUNCTION("IMPORTRANGE(""https://docs.google.com/spreadsheets/d/1eHaY18a8A9IcSdp1K8H6x8fbOy06t2VsZHhMHf-1x7Y/edit?usp=sharing"",""แผน!IC24"")"),1)</f>
        <v>1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IFERROR(__xludf.DUMMYFUNCTION("IMPORTRANGE(""https://docs.google.com/spreadsheets/d/1eHaY18a8A9IcSdp1K8H6x8fbOy06t2VsZHhMHf-1x7Y/edit?usp=sharing"",""แผน!IE24"")"),0)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0</v>
      </c>
      <c r="R643" s="515">
        <f t="shared" ca="1" si="397"/>
        <v>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0</v>
      </c>
      <c r="R645" s="230">
        <f t="shared" ca="1" si="401"/>
        <v>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0</v>
      </c>
      <c r="R646" s="230">
        <f t="shared" ca="1" si="403"/>
        <v>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IFERROR(__xludf.DUMMYFUNCTION("IMPORTRANGE(""https://docs.google.com/spreadsheets/d/1ItG2mGa2ceCfYo0BwxsXqNm01IGEUdYcSSLTEv9YCik/edit?usp=sharing"",""เบิกจ่ายกองทุน!I24"")"),0)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IFERROR(__xludf.DUMMYFUNCTION("IMPORTRANGE(""https://docs.google.com/spreadsheets/d/1ItG2mGa2ceCfYo0BwxsXqNm01IGEUdYcSSLTEv9YCik/edit?usp=sharing"",""เบิกจ่ายกองทุน!J24"")"),0)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IFERROR(__xludf.DUMMYFUNCTION("IMPORTRANGE(""https://docs.google.com/spreadsheets/d/1ItG2mGa2ceCfYo0BwxsXqNm01IGEUdYcSSLTEv9YCik/edit?usp=sharing"",""เบิกจ่ายกองทุน!K24"")"),0)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IFERROR(__xludf.DUMMYFUNCTION("IMPORTRANGE(""https://docs.google.com/spreadsheets/d/1eHaY18a8A9IcSdp1K8H6x8fbOy06t2VsZHhMHf-1x7Y/edit?usp=sharing"",""แผน!IF24"")"),0)</f>
        <v>0</v>
      </c>
      <c r="J653" s="189">
        <f ca="1">IFERROR(__xludf.DUMMYFUNCTION("IMPORTRANGE(""https://docs.google.com/spreadsheets/d/1tdoBKaGub7dwA3U6UFTqxio9LNnvDCQjHKmttSEBsFQ/edit?usp=sharing"",""จัดที่ดิน!AU24"")"),0)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IFERROR(__xludf.DUMMYFUNCTION("IMPORTRANGE(""https://docs.google.com/spreadsheets/d/1eHaY18a8A9IcSdp1K8H6x8fbOy06t2VsZHhMHf-1x7Y/edit?usp=sharing"",""แผน!IG24"")"),0)</f>
        <v>0</v>
      </c>
      <c r="J654" s="189">
        <f ca="1">IFERROR(__xludf.DUMMYFUNCTION("IMPORTRANGE(""https://docs.google.com/spreadsheets/d/1tdoBKaGub7dwA3U6UFTqxio9LNnvDCQjHKmttSEBsFQ/edit?usp=sharing"",""จัดที่ดิน!AW24"")"),0)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IFERROR(__xludf.DUMMYFUNCTION("IMPORTRANGE(""https://docs.google.com/spreadsheets/d/1eHaY18a8A9IcSdp1K8H6x8fbOy06t2VsZHhMHf-1x7Y/edit?usp=sharing"",""แผน!IH24"")"),0)</f>
        <v>0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IFERROR(__xludf.DUMMYFUNCTION("IMPORTRANGE(""https://docs.google.com/spreadsheets/d/1eHaY18a8A9IcSdp1K8H6x8fbOy06t2VsZHhMHf-1x7Y/edit?usp=sharing"",""แผน!II24"")"),0)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IFERROR(__xludf.DUMMYFUNCTION("IMPORTRANGE(""https://docs.google.com/spreadsheets/d/1eHaY18a8A9IcSdp1K8H6x8fbOy06t2VsZHhMHf-1x7Y/edit?usp=sharing"",""แผน!IJ24"")"),0)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IFERROR(__xludf.DUMMYFUNCTION("IMPORTRANGE(""https://docs.google.com/spreadsheets/d/1eHaY18a8A9IcSdp1K8H6x8fbOy06t2VsZHhMHf-1x7Y/edit?usp=sharing"",""แผน!IK24"")"),0)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IFERROR(__xludf.DUMMYFUNCTION("IMPORTRANGE(""https://docs.google.com/spreadsheets/d/1tdoBKaGub7dwA3U6UFTqxio9LNnvDCQjHKmttSEBsFQ/edit?usp=sharing"",""จัดที่ดิน!AY24"")"),0)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IFERROR(__xludf.DUMMYFUNCTION("IMPORTRANGE(""https://docs.google.com/spreadsheets/d/1tdoBKaGub7dwA3U6UFTqxio9LNnvDCQjHKmttSEBsFQ/edit?usp=sharing"",""จัดที่ดิน!AZ24"")"),0)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IFERROR(__xludf.DUMMYFUNCTION("IMPORTRANGE(""https://docs.google.com/spreadsheets/d/1eHaY18a8A9IcSdp1K8H6x8fbOy06t2VsZHhMHf-1x7Y/edit?usp=sharing"",""แผน!IL24"")"),0)</f>
        <v>0</v>
      </c>
      <c r="J674" s="189">
        <f ca="1">IFERROR(__xludf.DUMMYFUNCTION("IMPORTRANGE(""https://docs.google.com/spreadsheets/d/1tdoBKaGub7dwA3U6UFTqxio9LNnvDCQjHKmttSEBsFQ/edit?usp=sharing"",""จัดที่ดิน!BA24"")"),0)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IFERROR(__xludf.DUMMYFUNCTION("IMPORTRANGE(""https://docs.google.com/spreadsheets/d/1eHaY18a8A9IcSdp1K8H6x8fbOy06t2VsZHhMHf-1x7Y/edit?usp=sharing"",""แผน!IM24"")"),0)</f>
        <v>0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IFERROR(__xludf.DUMMYFUNCTION("IMPORTRANGE(""https://docs.google.com/spreadsheets/d/1eHaY18a8A9IcSdp1K8H6x8fbOy06t2VsZHhMHf-1x7Y/edit?usp=sharing"",""แผน!IN24"")"),0)</f>
        <v>0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IFERROR(__xludf.DUMMYFUNCTION("IMPORTRANGE(""https://docs.google.com/spreadsheets/d/1eHaY18a8A9IcSdp1K8H6x8fbOy06t2VsZHhMHf-1x7Y/edit?usp=sharing"",""แผน!IO24"")"),0)</f>
        <v>0</v>
      </c>
      <c r="J677" s="189">
        <f ca="1">IFERROR(__xludf.DUMMYFUNCTION("IMPORTRANGE(""https://docs.google.com/spreadsheets/d/1tdoBKaGub7dwA3U6UFTqxio9LNnvDCQjHKmttSEBsFQ/edit?usp=sharing"",""จัดที่ดิน!BF24"")"),0)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IFERROR(__xludf.DUMMYFUNCTION("IMPORTRANGE(""https://docs.google.com/spreadsheets/d/1tdoBKaGub7dwA3U6UFTqxio9LNnvDCQjHKmttSEBsFQ/edit?usp=sharing"",""จัดที่ดิน!BG24"")"),0)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IFERROR(__xludf.DUMMYFUNCTION("IMPORTRANGE(""https://docs.google.com/spreadsheets/d/1eHaY18a8A9IcSdp1K8H6x8fbOy06t2VsZHhMHf-1x7Y/edit?usp=sharing"",""แผน!IP24"")"),0)</f>
        <v>0</v>
      </c>
      <c r="J679" s="189">
        <f ca="1">IFERROR(__xludf.DUMMYFUNCTION("IMPORTRANGE(""https://docs.google.com/spreadsheets/d/1tdoBKaGub7dwA3U6UFTqxio9LNnvDCQjHKmttSEBsFQ/edit?usp=sharing"",""จัดที่ดิน!BH24"")"),0)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IFERROR(__xludf.DUMMYFUNCTION("IMPORTRANGE(""https://docs.google.com/spreadsheets/d/1eHaY18a8A9IcSdp1K8H6x8fbOy06t2VsZHhMHf-1x7Y/edit?usp=sharing"",""แผน!IQ24"")"),0)</f>
        <v>0</v>
      </c>
      <c r="J680" s="189">
        <f ca="1">IFERROR(__xludf.DUMMYFUNCTION("IMPORTRANGE(""https://docs.google.com/spreadsheets/d/1tdoBKaGub7dwA3U6UFTqxio9LNnvDCQjHKmttSEBsFQ/edit?usp=sharing"",""จัดที่ดิน!BK24"")"),0)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IFERROR(__xludf.DUMMYFUNCTION("IMPORTRANGE(""https://docs.google.com/spreadsheets/d/1tdoBKaGub7dwA3U6UFTqxio9LNnvDCQjHKmttSEBsFQ/edit?usp=sharing"",""จัดที่ดิน!BL24"")"),0)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IFERROR(__xludf.DUMMYFUNCTION("IMPORTRANGE(""https://docs.google.com/spreadsheets/d/1eHaY18a8A9IcSdp1K8H6x8fbOy06t2VsZHhMHf-1x7Y/edit?usp=sharing"",""แผน!IR24"")"),0)</f>
        <v>0</v>
      </c>
      <c r="J682" s="189">
        <f ca="1">IFERROR(__xludf.DUMMYFUNCTION("IMPORTRANGE(""https://docs.google.com/spreadsheets/d/1tdoBKaGub7dwA3U6UFTqxio9LNnvDCQjHKmttSEBsFQ/edit?usp=sharing"",""จัดที่ดิน!BM24"")"),0)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IFERROR(__xludf.DUMMYFUNCTION("IMPORTRANGE(""https://docs.google.com/spreadsheets/d/1eHaY18a8A9IcSdp1K8H6x8fbOy06t2VsZHhMHf-1x7Y/edit?usp=sharing"",""แผน!IS24"")"),0)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52</v>
      </c>
      <c r="J690" s="700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144340</v>
      </c>
      <c r="R691" s="515">
        <f t="shared" ca="1" si="414"/>
        <v>144340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144340</v>
      </c>
      <c r="R693" s="230">
        <f t="shared" ca="1" si="418"/>
        <v>144340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144340</v>
      </c>
      <c r="R694" s="230">
        <f t="shared" ca="1" si="420"/>
        <v>144340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6" s="230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6" s="230">
        <f ca="1">IFERROR(__xludf.DUMMYFUNCTION("IMPORTRANGE(""https://docs.google.com/spreadsheets/d/1ItG2mGa2ceCfYo0BwxsXqNm01IGEUdYcSSLTEv9YCik/edit?usp=sharing"",""เบิกจ่ายกองทุน!N24"")"),0)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IFERROR(__xludf.DUMMYFUNCTION("IMPORTRANGE(""https://docs.google.com/spreadsheets/d/1eHaY18a8A9IcSdp1K8H6x8fbOy06t2VsZHhMHf-1x7Y/edit?usp=sharing"",""แผน!LC24"")"),0)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55</v>
      </c>
      <c r="J702" s="340">
        <f t="shared" ca="1" si="424"/>
        <v>0</v>
      </c>
      <c r="K702" s="515">
        <f t="shared" ca="1" si="423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IFERROR(__xludf.DUMMYFUNCTION("IMPORTRANGE(""https://docs.google.com/spreadsheets/d/1eHaY18a8A9IcSdp1K8H6x8fbOy06t2VsZHhMHf-1x7Y/edit?usp=sharing"",""แผน!LJ24"")"),52)</f>
        <v>52</v>
      </c>
      <c r="J704" s="189">
        <f ca="1">IFERROR(__xludf.DUMMYFUNCTION("IMPORTRANGE(""https://docs.google.com/spreadsheets/d/1tdoBKaGub7dwA3U6UFTqxio9LNnvDCQjHKmttSEBsFQ/edit?usp=sharing"",""จัดที่ดิน!AP24"")"),0)</f>
        <v>0</v>
      </c>
      <c r="K704" s="230">
        <f t="shared" ca="1" si="423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IFERROR(__xludf.DUMMYFUNCTION("IMPORTRANGE(""https://docs.google.com/spreadsheets/d/1tdoBKaGub7dwA3U6UFTqxio9LNnvDCQjHKmttSEBsFQ/edit?usp=sharing"",""จัดที่ดิน!AQ24"")"),0)</f>
        <v>0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IFERROR(__xludf.DUMMYFUNCTION("IMPORTRANGE(""https://docs.google.com/spreadsheets/d/1eHaY18a8A9IcSdp1K8H6x8fbOy06t2VsZHhMHf-1x7Y/edit?usp=sharing"",""แผน!LK24"")"),3)</f>
        <v>3</v>
      </c>
      <c r="J706" s="189">
        <f ca="1">IFERROR(__xludf.DUMMYFUNCTION("IMPORTRANGE(""https://docs.google.com/spreadsheets/d/1tdoBKaGub7dwA3U6UFTqxio9LNnvDCQjHKmttSEBsFQ/edit?usp=sharing"",""จัดที่ดิน!AR24"")"),0)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IFERROR(__xludf.DUMMYFUNCTION("IMPORTRANGE(""https://docs.google.com/spreadsheets/d/1tdoBKaGub7dwA3U6UFTqxio9LNnvDCQjHKmttSEBsFQ/edit?usp=sharing"",""จัดที่ดิน!AS24"")"),0)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IFERROR(__xludf.DUMMYFUNCTION("IMPORTRANGE(""https://docs.google.com/spreadsheets/d/1eHaY18a8A9IcSdp1K8H6x8fbOy06t2VsZHhMHf-1x7Y/edit?usp=sharing"",""แผน!LJ24"")"),52)</f>
        <v>52</v>
      </c>
      <c r="J708" s="189">
        <f ca="1">IFERROR(__xludf.DUMMYFUNCTION("IMPORTRANGE(""https://docs.google.com/spreadsheets/d/1tdoBKaGub7dwA3U6UFTqxio9LNnvDCQjHKmttSEBsFQ/edit?usp=sharing"",""จัดที่ดิน!BN24"")"),0)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IFERROR(__xludf.DUMMYFUNCTION("IMPORTRANGE(""https://docs.google.com/spreadsheets/d/1tdoBKaGub7dwA3U6UFTqxio9LNnvDCQjHKmttSEBsFQ/edit?usp=sharing"",""จัดที่ดิน!BO24"")"),0)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IFERROR(__xludf.DUMMYFUNCTION("IMPORTRANGE(""https://docs.google.com/spreadsheets/d/1eHaY18a8A9IcSdp1K8H6x8fbOy06t2VsZHhMHf-1x7Y/edit?usp=sharing"",""แผน!LK24"")"),3)</f>
        <v>3</v>
      </c>
      <c r="J710" s="189">
        <f ca="1">IFERROR(__xludf.DUMMYFUNCTION("IMPORTRANGE(""https://docs.google.com/spreadsheets/d/1tdoBKaGub7dwA3U6UFTqxio9LNnvDCQjHKmttSEBsFQ/edit?usp=sharing"",""จัดที่ดิน!BP24"")"),0)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IFERROR(__xludf.DUMMYFUNCTION("IMPORTRANGE(""https://docs.google.com/spreadsheets/d/1tdoBKaGub7dwA3U6UFTqxio9LNnvDCQjHKmttSEBsFQ/edit?usp=sharing"",""จัดที่ดิน!BQ24"")"),0)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IFERROR(__xludf.DUMMYFUNCTION("IMPORTRANGE(""https://docs.google.com/spreadsheets/d/1eHaY18a8A9IcSdp1K8H6x8fbOy06t2VsZHhMHf-1x7Y/edit?usp=sharing"",""แผน!GA24"")"),128)</f>
        <v>128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IFERROR(__xludf.DUMMYFUNCTION("IMPORTRANGE(""https://docs.google.com/spreadsheets/d/1eHaY18a8A9IcSdp1K8H6x8fbOy06t2VsZHhMHf-1x7Y/edit?usp=sharing"",""แผน!FZ24"")"),1250)</f>
        <v>1250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1008470</v>
      </c>
      <c r="R729" s="515">
        <f t="shared" ca="1" si="441"/>
        <v>1008470</v>
      </c>
      <c r="S729" s="515">
        <f t="shared" ca="1" si="441"/>
        <v>0</v>
      </c>
      <c r="T729" s="515">
        <f t="shared" ref="T729:T737" ca="1" si="442">IF(Q729&gt;0,S729*100/Q729,0)</f>
        <v>0</v>
      </c>
      <c r="U729" s="515">
        <f t="shared" ref="U729:U737" ca="1" si="443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1008470</v>
      </c>
      <c r="R731" s="230">
        <f t="shared" ca="1" si="445"/>
        <v>1008470</v>
      </c>
      <c r="S731" s="230">
        <f t="shared" ca="1" si="445"/>
        <v>0</v>
      </c>
      <c r="T731" s="230">
        <f t="shared" ca="1" si="442"/>
        <v>0</v>
      </c>
      <c r="U731" s="230">
        <f t="shared" ca="1" si="443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1008470</v>
      </c>
      <c r="R732" s="230">
        <f t="shared" ca="1" si="447"/>
        <v>1008470</v>
      </c>
      <c r="S732" s="230">
        <f t="shared" ca="1" si="447"/>
        <v>0</v>
      </c>
      <c r="T732" s="230">
        <f t="shared" ca="1" si="442"/>
        <v>0</v>
      </c>
      <c r="U732" s="230">
        <f t="shared" ca="1" si="443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IFERROR(__xludf.DUMMYFUNCTION("IMPORTRANGE(""https://docs.google.com/spreadsheets/d/1ItG2mGa2ceCfYo0BwxsXqNm01IGEUdYcSSLTEv9YCik/edit?usp=sharing"",""เบิกจ่ายกองทุน!Q24"")"),0)</f>
        <v>0</v>
      </c>
      <c r="T734" s="230">
        <f t="shared" ca="1" si="442"/>
        <v>0</v>
      </c>
      <c r="U734" s="230">
        <f t="shared" ca="1" si="443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IFERROR(__xludf.DUMMYFUNCTION("IMPORTRANGE(""https://docs.google.com/spreadsheets/d/1eHaY18a8A9IcSdp1K8H6x8fbOy06t2VsZHhMHf-1x7Y/edit?usp=sharing"",""แผน!GB24"")"),1000)</f>
        <v>1000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IFERROR(__xludf.DUMMYFUNCTION("IMPORTRANGE(""https://docs.google.com/spreadsheets/d/1eHaY18a8A9IcSdp1K8H6x8fbOy06t2VsZHhMHf-1x7Y/edit?usp=sharing"",""แผน!GC24"")"),100)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IFERROR(__xludf.DUMMYFUNCTION("IMPORTRANGE(""https://docs.google.com/spreadsheets/d/1eHaY18a8A9IcSdp1K8H6x8fbOy06t2VsZHhMHf-1x7Y/edit?usp=sharing"",""แผน!GD24"")"),250)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IFERROR(__xludf.DUMMYFUNCTION("IMPORTRANGE(""https://docs.google.com/spreadsheets/d/1eHaY18a8A9IcSdp1K8H6x8fbOy06t2VsZHhMHf-1x7Y/edit?usp=sharing"",""แผน!GE24"")"),25)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IFERROR(__xludf.DUMMYFUNCTION("IMPORTRANGE(""https://docs.google.com/spreadsheets/d/1eHaY18a8A9IcSdp1K8H6x8fbOy06t2VsZHhMHf-1x7Y/edit?usp=sharing"",""แผน!GF24"")"),3)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IFERROR(__xludf.DUMMYFUNCTION("IMPORTRANGE(""https://docs.google.com/spreadsheets/d/1eHaY18a8A9IcSdp1K8H6x8fbOy06t2VsZHhMHf-1x7Y/edit?usp=sharing"",""แผน!GC24"")"),100)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IFERROR(__xludf.DUMMYFUNCTION("IMPORTRANGE(""https://docs.google.com/spreadsheets/d/1eHaY18a8A9IcSdp1K8H6x8fbOy06t2VsZHhMHf-1x7Y/edit?usp=sharing"",""แผน!GE24"")"),25)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70</v>
      </c>
      <c r="J758" s="700">
        <f t="shared" si="450"/>
        <v>70</v>
      </c>
      <c r="K758" s="701">
        <f t="shared" ref="K758:K759" ca="1" si="451">IF(I758&gt;0,J758*100/I758,0)</f>
        <v>100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140</v>
      </c>
      <c r="J759" s="700">
        <f t="shared" si="452"/>
        <v>140</v>
      </c>
      <c r="K759" s="701">
        <f t="shared" ca="1" si="451"/>
        <v>100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479400</v>
      </c>
      <c r="R760" s="515">
        <f t="shared" ca="1" si="456"/>
        <v>479400</v>
      </c>
      <c r="S760" s="515">
        <f t="shared" ca="1" si="456"/>
        <v>0</v>
      </c>
      <c r="T760" s="515">
        <f t="shared" ref="T760:T768" ca="1" si="457">IF(Q760&gt;0,S760*100/Q760,0)</f>
        <v>0</v>
      </c>
      <c r="U760" s="515">
        <f t="shared" ref="U760:U768" ca="1" si="458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479400</v>
      </c>
      <c r="R762" s="230">
        <f t="shared" ca="1" si="460"/>
        <v>479400</v>
      </c>
      <c r="S762" s="230">
        <f t="shared" ca="1" si="460"/>
        <v>0</v>
      </c>
      <c r="T762" s="230">
        <f t="shared" ca="1" si="457"/>
        <v>0</v>
      </c>
      <c r="U762" s="230">
        <f t="shared" ca="1" si="458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479400</v>
      </c>
      <c r="R763" s="230">
        <f t="shared" ca="1" si="462"/>
        <v>479400</v>
      </c>
      <c r="S763" s="230">
        <f t="shared" ca="1" si="462"/>
        <v>0</v>
      </c>
      <c r="T763" s="230">
        <f t="shared" ca="1" si="457"/>
        <v>0</v>
      </c>
      <c r="U763" s="230">
        <f t="shared" ca="1" si="458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IFERROR(__xludf.DUMMYFUNCTION("IMPORTRANGE(""https://docs.google.com/spreadsheets/d/1ItG2mGa2ceCfYo0BwxsXqNm01IGEUdYcSSLTEv9YCik/edit?usp=sharing"",""เบิกจ่ายกองทุน!U24"")"),479400)</f>
        <v>479400</v>
      </c>
      <c r="R765" s="230">
        <f ca="1">IFERROR(__xludf.DUMMYFUNCTION("IMPORTRANGE(""https://docs.google.com/spreadsheets/d/1ItG2mGa2ceCfYo0BwxsXqNm01IGEUdYcSSLTEv9YCik/edit?usp=sharing"",""เบิกจ่ายกองทุน!V24"")"),479400)</f>
        <v>479400</v>
      </c>
      <c r="S765" s="230">
        <f ca="1">IFERROR(__xludf.DUMMYFUNCTION("IMPORTRANGE(""https://docs.google.com/spreadsheets/d/1ItG2mGa2ceCfYo0BwxsXqNm01IGEUdYcSSLTEv9YCik/edit?usp=sharing"",""เบิกจ่ายกองทุน!W24"")"),0)</f>
        <v>0</v>
      </c>
      <c r="T765" s="230">
        <f t="shared" ca="1" si="457"/>
        <v>0</v>
      </c>
      <c r="U765" s="230">
        <f t="shared" ca="1" si="458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IFERROR(__xludf.DUMMYFUNCTION("IMPORTRANGE(""https://docs.google.com/spreadsheets/d/1eHaY18a8A9IcSdp1K8H6x8fbOy06t2VsZHhMHf-1x7Y/edit?usp=sharing"",""แผน!FI24"")"),0)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IFERROR(__xludf.DUMMYFUNCTION("IMPORTRANGE(""https://docs.google.com/spreadsheets/d/1eHaY18a8A9IcSdp1K8H6x8fbOy06t2VsZHhMHf-1x7Y/edit?usp=sharing"",""แผน!FQ24"")"),70)</f>
        <v>70</v>
      </c>
      <c r="J772" s="520">
        <v>70</v>
      </c>
      <c r="K772" s="230">
        <f ca="1">IF(I772&gt;0,J772*100/I772,0)</f>
        <v>100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IFERROR(__xludf.DUMMYFUNCTION("IMPORTRANGE(""https://docs.google.com/spreadsheets/d/1eHaY18a8A9IcSdp1K8H6x8fbOy06t2VsZHhMHf-1x7Y/edit?usp=sharing"",""แผน!FR24"")"),140)</f>
        <v>140</v>
      </c>
      <c r="J774" s="520">
        <v>140</v>
      </c>
      <c r="K774" s="230">
        <f ca="1">IF(I774&gt;0,J774*100/I774,0)</f>
        <v>100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IFERROR(__xludf.DUMMYFUNCTION("IMPORTRANGE(""https://docs.google.com/spreadsheets/d/1eHaY18a8A9IcSdp1K8H6x8fbOy06t2VsZHhMHf-1x7Y/edit?usp=sharing"",""แผน!FS24"")"),140)</f>
        <v>140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IFERROR(__xludf.DUMMYFUNCTION("IMPORTRANGE(""https://docs.google.com/spreadsheets/d/1eHaY18a8A9IcSdp1K8H6x8fbOy06t2VsZHhMHf-1x7Y/edit?usp=sharing"",""แผน!FT24"")"),70)</f>
        <v>70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IFERROR(__xludf.DUMMYFUNCTION("IMPORTRANGE(""https://docs.google.com/spreadsheets/d/10OvvATaaLtwErnr3qtWFcTmtbfpFEt5Bsqel9sXx0uE/edit?usp=sharing"",""งานกองทุน!D24"")"),3700000)</f>
        <v>3700000</v>
      </c>
      <c r="J778" s="189">
        <f ca="1">IFERROR(__xludf.DUMMYFUNCTION("IMPORTRANGE(""https://docs.google.com/spreadsheets/d/10OvvATaaLtwErnr3qtWFcTmtbfpFEt5Bsqel9sXx0uE/edit?usp=sharing"",""งานกองทุน!F24"")"),1013000)</f>
        <v>1013000</v>
      </c>
      <c r="K778" s="230">
        <f t="shared" ref="K778:K785" ca="1" si="465">IF(I778&gt;0,J778*100/I778,0)</f>
        <v>27.378378378378379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IFERROR(__xludf.DUMMYFUNCTION("IMPORTRANGE(""https://docs.google.com/spreadsheets/d/10OvvATaaLtwErnr3qtWFcTmtbfpFEt5Bsqel9sXx0uE/edit?usp=sharing"",""งานกองทุน!C24"")"),155)</f>
        <v>155</v>
      </c>
      <c r="J779" s="189">
        <f ca="1">IFERROR(__xludf.DUMMYFUNCTION("IMPORTRANGE(""https://docs.google.com/spreadsheets/d/10OvvATaaLtwErnr3qtWFcTmtbfpFEt5Bsqel9sXx0uE/edit?usp=sharing"",""งานกองทุน!E24"")"),46)</f>
        <v>46</v>
      </c>
      <c r="K779" s="230">
        <f t="shared" ca="1" si="465"/>
        <v>29.677419354838708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89">
        <f ca="1">IFERROR(__xludf.DUMMYFUNCTION("IMPORTRANGE(""https://docs.google.com/spreadsheets/d/10OvvATaaLtwErnr3qtWFcTmtbfpFEt5Bsqel9sXx0uE/edit?usp=sharing"",""งานกองทุน!K24"")"),46189.87)</f>
        <v>46189.87</v>
      </c>
      <c r="K780" s="230">
        <f t="shared" ca="1" si="465"/>
        <v>8.5913114831059634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IFERROR(__xludf.DUMMYFUNCTION("IMPORTRANGE(""https://docs.google.com/spreadsheets/d/10OvvATaaLtwErnr3qtWFcTmtbfpFEt5Bsqel9sXx0uE/edit?usp=sharing"",""งานกองทุน!H24"")"),47)</f>
        <v>47</v>
      </c>
      <c r="J781" s="189">
        <f ca="1">IFERROR(__xludf.DUMMYFUNCTION("IMPORTRANGE(""https://docs.google.com/spreadsheets/d/10OvvATaaLtwErnr3qtWFcTmtbfpFEt5Bsqel9sXx0uE/edit?usp=sharing"",""งานกองทุน!J24"")"),22)</f>
        <v>22</v>
      </c>
      <c r="K781" s="230">
        <f t="shared" ca="1" si="465"/>
        <v>46.808510638297875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IFERROR(__xludf.DUMMYFUNCTION("IMPORTRANGE(""https://docs.google.com/spreadsheets/d/10OvvATaaLtwErnr3qtWFcTmtbfpFEt5Bsqel9sXx0uE/edit?usp=sharing"",""งานกองทุน!N24"")"),0)</f>
        <v>0</v>
      </c>
      <c r="J782" s="189">
        <f ca="1">IFERROR(__xludf.DUMMYFUNCTION("IMPORTRANGE(""https://docs.google.com/spreadsheets/d/10OvvATaaLtwErnr3qtWFcTmtbfpFEt5Bsqel9sXx0uE/edit?usp=sharing"",""งานกองทุน!P24"")"),0)</f>
        <v>0</v>
      </c>
      <c r="K782" s="230">
        <f t="shared" ca="1" si="465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IFERROR(__xludf.DUMMYFUNCTION("IMPORTRANGE(""https://docs.google.com/spreadsheets/d/10OvvATaaLtwErnr3qtWFcTmtbfpFEt5Bsqel9sXx0uE/edit?usp=sharing"",""งานกองทุน!M24"")"),0)</f>
        <v>0</v>
      </c>
      <c r="J783" s="189">
        <f ca="1">IFERROR(__xludf.DUMMYFUNCTION("IMPORTRANGE(""https://docs.google.com/spreadsheets/d/10OvvATaaLtwErnr3qtWFcTmtbfpFEt5Bsqel9sXx0uE/edit?usp=sharing"",""งานกองทุน!O24"")"),0)</f>
        <v>0</v>
      </c>
      <c r="K783" s="230">
        <f t="shared" ca="1" si="465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IFERROR(__xludf.DUMMYFUNCTION("IMPORTRANGE(""https://docs.google.com/spreadsheets/d/10OvvATaaLtwErnr3qtWFcTmtbfpFEt5Bsqel9sXx0uE/edit?usp=sharing"",""งานกองทุน!S24"")"),4648000)</f>
        <v>4648000</v>
      </c>
      <c r="J784" s="189">
        <f ca="1">IFERROR(__xludf.DUMMYFUNCTION("IMPORTRANGE(""https://docs.google.com/spreadsheets/d/10OvvATaaLtwErnr3qtWFcTmtbfpFEt5Bsqel9sXx0uE/edit?usp=sharing"",""งานกองทุน!U24"")"),409000)</f>
        <v>409000</v>
      </c>
      <c r="K784" s="230">
        <f t="shared" ca="1" si="465"/>
        <v>8.7994836488812389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IFERROR(__xludf.DUMMYFUNCTION("IMPORTRANGE(""https://docs.google.com/spreadsheets/d/10OvvATaaLtwErnr3qtWFcTmtbfpFEt5Bsqel9sXx0uE/edit?usp=sharing"",""งานกองทุน!R24"")"),166)</f>
        <v>166</v>
      </c>
      <c r="J785" s="194">
        <f ca="1">IFERROR(__xludf.DUMMYFUNCTION("IMPORTRANGE(""https://docs.google.com/spreadsheets/d/10OvvATaaLtwErnr3qtWFcTmtbfpFEt5Bsqel9sXx0uE/edit?usp=sharing"",""งานกองทุน!T24"")"),17)</f>
        <v>17</v>
      </c>
      <c r="K785" s="461">
        <f t="shared" ca="1" si="465"/>
        <v>10.240963855421686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562A-5EDB-4810-8CC9-66F77D038E21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1421235</v>
      </c>
      <c r="M19" s="474">
        <f t="shared" ca="1" si="0"/>
        <v>1468577</v>
      </c>
      <c r="N19" s="474">
        <f t="shared" ca="1" si="0"/>
        <v>725128.4</v>
      </c>
      <c r="O19" s="474">
        <f t="shared" ref="O19:O27" ca="1" si="1">IF(L19&gt;0,N19*100/L19,0)</f>
        <v>51.021006378255528</v>
      </c>
      <c r="P19" s="474">
        <f t="shared" ref="P19:P27" ca="1" si="2">IF(M19&gt;0,N19*100/M19,0)</f>
        <v>49.376260148429395</v>
      </c>
      <c r="Q19" s="474">
        <f t="shared" ref="Q19:S19" ca="1" si="3">Q20+Q21</f>
        <v>1347278.3900000001</v>
      </c>
      <c r="R19" s="474">
        <f t="shared" ca="1" si="3"/>
        <v>1347278</v>
      </c>
      <c r="S19" s="474">
        <f t="shared" ca="1" si="3"/>
        <v>2880</v>
      </c>
      <c r="T19" s="474">
        <f t="shared" ref="T19:T27" ca="1" si="4">IF(Q19&gt;0,S19*100/Q19,0)</f>
        <v>0.21376428371273734</v>
      </c>
      <c r="U19" s="474">
        <f t="shared" ref="U19:U27" ca="1" si="5">IF(R19&gt;0,S19*100/R19,0)</f>
        <v>0.21376434559162993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1421235</v>
      </c>
      <c r="M21" s="480">
        <f t="shared" ca="1" si="6"/>
        <v>1468577</v>
      </c>
      <c r="N21" s="480">
        <f t="shared" ca="1" si="6"/>
        <v>725128.4</v>
      </c>
      <c r="O21" s="480">
        <f t="shared" ca="1" si="1"/>
        <v>51.021006378255528</v>
      </c>
      <c r="P21" s="480">
        <f t="shared" ca="1" si="2"/>
        <v>49.376260148429395</v>
      </c>
      <c r="Q21" s="480">
        <f t="shared" ca="1" si="7"/>
        <v>1347278.3900000001</v>
      </c>
      <c r="R21" s="480">
        <f t="shared" ca="1" si="7"/>
        <v>1347278</v>
      </c>
      <c r="S21" s="480">
        <f t="shared" ca="1" si="7"/>
        <v>2880</v>
      </c>
      <c r="T21" s="480">
        <f t="shared" ca="1" si="4"/>
        <v>0.21376428371273734</v>
      </c>
      <c r="U21" s="480">
        <f t="shared" ca="1" si="5"/>
        <v>0.21376434559162993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1421235</v>
      </c>
      <c r="M22" s="230">
        <f t="shared" ca="1" si="8"/>
        <v>1468577</v>
      </c>
      <c r="N22" s="230">
        <f t="shared" ca="1" si="8"/>
        <v>725128.4</v>
      </c>
      <c r="O22" s="230">
        <f t="shared" ca="1" si="1"/>
        <v>51.021006378255528</v>
      </c>
      <c r="P22" s="230">
        <f t="shared" ca="1" si="2"/>
        <v>49.376260148429395</v>
      </c>
      <c r="Q22" s="230">
        <f t="shared" ref="Q22:S22" ca="1" si="9">Q23+Q24</f>
        <v>1347278.3900000001</v>
      </c>
      <c r="R22" s="230">
        <f t="shared" ca="1" si="9"/>
        <v>1347278</v>
      </c>
      <c r="S22" s="230">
        <f t="shared" ca="1" si="9"/>
        <v>2880</v>
      </c>
      <c r="T22" s="230">
        <f t="shared" ca="1" si="4"/>
        <v>0.21376428371273734</v>
      </c>
      <c r="U22" s="230">
        <f t="shared" ca="1" si="5"/>
        <v>0.21376434559162993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1421235</v>
      </c>
      <c r="M24" s="230">
        <f t="shared" ca="1" si="10"/>
        <v>1468577</v>
      </c>
      <c r="N24" s="230">
        <f t="shared" ca="1" si="10"/>
        <v>725128.4</v>
      </c>
      <c r="O24" s="230">
        <f t="shared" ca="1" si="1"/>
        <v>51.021006378255528</v>
      </c>
      <c r="P24" s="230">
        <f t="shared" ca="1" si="2"/>
        <v>49.376260148429395</v>
      </c>
      <c r="Q24" s="230">
        <f t="shared" ca="1" si="11"/>
        <v>1347278.3900000001</v>
      </c>
      <c r="R24" s="230">
        <f t="shared" ca="1" si="11"/>
        <v>1347278</v>
      </c>
      <c r="S24" s="230">
        <f t="shared" ca="1" si="11"/>
        <v>2880</v>
      </c>
      <c r="T24" s="230">
        <f t="shared" ca="1" si="4"/>
        <v>0.21376428371273734</v>
      </c>
      <c r="U24" s="230">
        <f t="shared" ca="1" si="5"/>
        <v>0.21376434559162993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1421235</v>
      </c>
      <c r="M41" s="487">
        <f t="shared" ca="1" si="16"/>
        <v>1468577</v>
      </c>
      <c r="N41" s="487">
        <f t="shared" ca="1" si="16"/>
        <v>725128.4</v>
      </c>
      <c r="O41" s="487">
        <f ca="1">IF(L41&gt;0,N41*100/L41,0)</f>
        <v>51.021006378255528</v>
      </c>
      <c r="P41" s="487">
        <f ca="1">IF(M41&gt;0,N41*100/M41,0)</f>
        <v>49.376260148429395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127750</v>
      </c>
      <c r="M45" s="491">
        <f t="shared" ca="1" si="17"/>
        <v>135752</v>
      </c>
      <c r="N45" s="491">
        <f t="shared" ca="1" si="17"/>
        <v>62050</v>
      </c>
      <c r="O45" s="491">
        <f t="shared" ref="O45:O53" ca="1" si="18">IF(L45&gt;0,N45*100/L45,0)</f>
        <v>48.571428571428569</v>
      </c>
      <c r="P45" s="491">
        <f t="shared" ref="P45:P53" ca="1" si="19">IF(M45&gt;0,N45*100/M45,0)</f>
        <v>45.70835052153928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127750</v>
      </c>
      <c r="M47" s="497">
        <f t="shared" ca="1" si="23"/>
        <v>135752</v>
      </c>
      <c r="N47" s="497">
        <f t="shared" ca="1" si="23"/>
        <v>62050</v>
      </c>
      <c r="O47" s="497">
        <f t="shared" ca="1" si="18"/>
        <v>48.571428571428569</v>
      </c>
      <c r="P47" s="497">
        <f t="shared" ca="1" si="19"/>
        <v>45.70835052153928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127750</v>
      </c>
      <c r="M48" s="230">
        <f t="shared" ca="1" si="25"/>
        <v>135752</v>
      </c>
      <c r="N48" s="230">
        <f t="shared" ca="1" si="25"/>
        <v>62050</v>
      </c>
      <c r="O48" s="230">
        <f t="shared" ca="1" si="18"/>
        <v>48.571428571428569</v>
      </c>
      <c r="P48" s="230">
        <f t="shared" ca="1" si="19"/>
        <v>45.70835052153928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IFERROR(__xludf.DUMMYFUNCTION("IMPORTRANGE(""https://docs.google.com/spreadsheets/d/1-uDff_7J0KD5mKrp0Vvzr7lt3OU09vwQwhkpOPPYv2Y/edit?usp=sharing"",""งบพรบ!P25"")"),127750)</f>
        <v>127750</v>
      </c>
      <c r="M50" s="230">
        <f ca="1">IFERROR(__xludf.DUMMYFUNCTION("IMPORTRANGE(""https://docs.google.com/spreadsheets/d/1-uDff_7J0KD5mKrp0Vvzr7lt3OU09vwQwhkpOPPYv2Y/edit?usp=sharing"",""งบพรบ!V25"")"),135752)</f>
        <v>135752</v>
      </c>
      <c r="N50" s="230">
        <f ca="1">IFERROR(__xludf.DUMMYFUNCTION("IMPORTRANGE(""https://docs.google.com/spreadsheets/d/1-uDff_7J0KD5mKrp0Vvzr7lt3OU09vwQwhkpOPPYv2Y/edit?usp=sharing"",""งบพรบ!Y25"")"),62050)</f>
        <v>62050</v>
      </c>
      <c r="O50" s="230">
        <f t="shared" ca="1" si="18"/>
        <v>48.571428571428569</v>
      </c>
      <c r="P50" s="230">
        <f t="shared" ca="1" si="19"/>
        <v>45.70835052153928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IFERROR(__xludf.DUMMYFUNCTION("IMPORTRANGE(""https://docs.google.com/spreadsheets/d/1-uDff_7J0KD5mKrp0Vvzr7lt3OU09vwQwhkpOPPYv2Y/edit?usp=sharing"",""งบพรบ!S25"")"),0)</f>
        <v>0</v>
      </c>
      <c r="M53" s="230">
        <f ca="1">IFERROR(__xludf.DUMMYFUNCTION("IMPORTRANGE(""https://docs.google.com/spreadsheets/d/1-uDff_7J0KD5mKrp0Vvzr7lt3OU09vwQwhkpOPPYv2Y/edit?usp=sharing"",""งบพรบ!W25"")"),0)</f>
        <v>0</v>
      </c>
      <c r="N53" s="230">
        <f ca="1">IFERROR(__xludf.DUMMYFUNCTION("IMPORTRANGE(""https://docs.google.com/spreadsheets/d/1-uDff_7J0KD5mKrp0Vvzr7lt3OU09vwQwhkpOPPYv2Y/edit?usp=sharing"",""งบพรบ!Z25"")"),0)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456500</v>
      </c>
      <c r="M60" s="502">
        <f t="shared" ca="1" si="29"/>
        <v>456500</v>
      </c>
      <c r="N60" s="502">
        <f t="shared" ca="1" si="29"/>
        <v>426667.54</v>
      </c>
      <c r="O60" s="502">
        <f t="shared" ref="O60:O68" ca="1" si="30">IF(L60&gt;0,N60*100/L60,0)</f>
        <v>93.464959474260681</v>
      </c>
      <c r="P60" s="502">
        <f t="shared" ref="P60:P68" ca="1" si="31">IF(M60&gt;0,N60*100/M60,0)</f>
        <v>93.464959474260681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456500</v>
      </c>
      <c r="M62" s="508">
        <f t="shared" ca="1" si="35"/>
        <v>456500</v>
      </c>
      <c r="N62" s="508">
        <f t="shared" ca="1" si="35"/>
        <v>426667.54</v>
      </c>
      <c r="O62" s="508">
        <f t="shared" ca="1" si="30"/>
        <v>93.464959474260681</v>
      </c>
      <c r="P62" s="508">
        <f t="shared" ca="1" si="31"/>
        <v>93.464959474260681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456500</v>
      </c>
      <c r="M63" s="230">
        <f t="shared" ca="1" si="37"/>
        <v>456500</v>
      </c>
      <c r="N63" s="230">
        <f t="shared" ca="1" si="37"/>
        <v>426667.54</v>
      </c>
      <c r="O63" s="230">
        <f t="shared" ca="1" si="30"/>
        <v>93.464959474260681</v>
      </c>
      <c r="P63" s="230">
        <f t="shared" ca="1" si="31"/>
        <v>93.464959474260681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IFERROR(__xludf.DUMMYFUNCTION("IMPORTRANGE(""https://docs.google.com/spreadsheets/d/1-uDff_7J0KD5mKrp0Vvzr7lt3OU09vwQwhkpOPPYv2Y/edit?usp=sharing"",""งบพรบ!AC25"")"),456500)</f>
        <v>456500</v>
      </c>
      <c r="M65" s="230">
        <f ca="1">IFERROR(__xludf.DUMMYFUNCTION("IMPORTRANGE(""https://docs.google.com/spreadsheets/d/1-uDff_7J0KD5mKrp0Vvzr7lt3OU09vwQwhkpOPPYv2Y/edit?usp=sharing"",""งบพรบ!AH25"")"),456500)</f>
        <v>456500</v>
      </c>
      <c r="N65" s="230">
        <f ca="1">IFERROR(__xludf.DUMMYFUNCTION("IMPORTRANGE(""https://docs.google.com/spreadsheets/d/1-uDff_7J0KD5mKrp0Vvzr7lt3OU09vwQwhkpOPPYv2Y/edit?usp=sharing"",""งบพรบ!AJ25"")"),426667.54)</f>
        <v>426667.54</v>
      </c>
      <c r="O65" s="230">
        <f t="shared" ca="1" si="30"/>
        <v>93.464959474260681</v>
      </c>
      <c r="P65" s="230">
        <f t="shared" ca="1" si="31"/>
        <v>93.464959474260681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IFERROR(__xludf.DUMMYFUNCTION("IMPORTRANGE(""https://docs.google.com/spreadsheets/d/1-uDff_7J0KD5mKrp0Vvzr7lt3OU09vwQwhkpOPPYv2Y/edit?usp=sharing"",""งบพรบ!AF25"")"),0)</f>
        <v>0</v>
      </c>
      <c r="M68" s="461">
        <f ca="1">IFERROR(__xludf.DUMMYFUNCTION("IMPORTRANGE(""https://docs.google.com/spreadsheets/d/1-uDff_7J0KD5mKrp0Vvzr7lt3OU09vwQwhkpOPPYv2Y/edit?usp=sharing"",""งบพรบ!AI25"")"),0)</f>
        <v>0</v>
      </c>
      <c r="N68" s="461">
        <f ca="1">IFERROR(__xludf.DUMMYFUNCTION("IMPORTRANGE(""https://docs.google.com/spreadsheets/d/1-uDff_7J0KD5mKrp0Vvzr7lt3OU09vwQwhkpOPPYv2Y/edit?usp=sharing"",""งบพรบ!AK25"")"),0)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hidden="1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hidden="1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hidden="1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hidden="1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hidden="1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IFERROR(__xludf.DUMMYFUNCTION("IMPORTRANGE(""https://docs.google.com/spreadsheets/d/1-uDff_7J0KD5mKrp0Vvzr7lt3OU09vwQwhkpOPPYv2Y/edit?usp=sharing"",""งบพรบ!AM25"")"),0)</f>
        <v>0</v>
      </c>
      <c r="M78" s="230">
        <f ca="1">IFERROR(__xludf.DUMMYFUNCTION("IMPORTRANGE(""https://docs.google.com/spreadsheets/d/1-uDff_7J0KD5mKrp0Vvzr7lt3OU09vwQwhkpOPPYv2Y/edit?usp=sharing"",""งบพรบ!AR25"")"),0)</f>
        <v>0</v>
      </c>
      <c r="N78" s="230">
        <f ca="1">IFERROR(__xludf.DUMMYFUNCTION("IMPORTRANGE(""https://docs.google.com/spreadsheets/d/1-uDff_7J0KD5mKrp0Vvzr7lt3OU09vwQwhkpOPPYv2Y/edit?usp=sharing"",""งบพรบ!AT25"")"),0)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IFERROR(__xludf.DUMMYFUNCTION("IMPORTRANGE(""https://docs.google.com/spreadsheets/d/1ItG2mGa2ceCfYo0BwxsXqNm01IGEUdYcSSLTEv9YCik/edit?usp=sharing"",""เบิกจ่ายกองทุน!AS25"")"),0)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IFERROR(__xludf.DUMMYFUNCTION("IMPORTRANGE(""https://docs.google.com/spreadsheets/d/1ItG2mGa2ceCfYo0BwxsXqNm01IGEUdYcSSLTEv9YCik/edit?usp=sharing"",""เบิกจ่ายกองทุน!AT25"")"),0)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IFERROR(__xludf.DUMMYFUNCTION("IMPORTRANGE(""https://docs.google.com/spreadsheets/d/1ItG2mGa2ceCfYo0BwxsXqNm01IGEUdYcSSLTEv9YCik/edit?usp=sharing"",""เบิกจ่ายกองทุน!AU25"")"),0)</f>
        <v>0</v>
      </c>
      <c r="T78" s="230">
        <f t="shared" ca="1" si="47"/>
        <v>0</v>
      </c>
      <c r="U78" s="230">
        <f t="shared" ca="1" si="48"/>
        <v>0</v>
      </c>
    </row>
    <row r="79" spans="1:21" ht="18.75" hidden="1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IFERROR(__xludf.DUMMYFUNCTION("IMPORTRANGE(""https://docs.google.com/spreadsheets/d/1-uDff_7J0KD5mKrp0Vvzr7lt3OU09vwQwhkpOPPYv2Y/edit?usp=sharing"",""งบพรบ!AP25"")"),0)</f>
        <v>0</v>
      </c>
      <c r="M81" s="230">
        <f ca="1">IFERROR(__xludf.DUMMYFUNCTION("IMPORTRANGE(""https://docs.google.com/spreadsheets/d/1-uDff_7J0KD5mKrp0Vvzr7lt3OU09vwQwhkpOPPYv2Y/edit?usp=sharing"",""งบพรบ!AS25"")"),0)</f>
        <v>0</v>
      </c>
      <c r="N81" s="230">
        <f ca="1">IFERROR(__xludf.DUMMYFUNCTION("IMPORTRANGE(""https://docs.google.com/spreadsheets/d/1-uDff_7J0KD5mKrp0Vvzr7lt3OU09vwQwhkpOPPYv2Y/edit?usp=sharing"",""งบพรบ!AU25"")"),0)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hidden="1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hidden="1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hidden="1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hidden="1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IFERROR(__xludf.DUMMYFUNCTION("IMPORTRANGE(""https://docs.google.com/spreadsheets/d/1eHaY18a8A9IcSdp1K8H6x8fbOy06t2VsZHhMHf-1x7Y/edit?usp=sharing"",""แผน!H25"")"),0)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hidden="1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IFERROR(__xludf.DUMMYFUNCTION("IMPORTRANGE(""https://docs.google.com/spreadsheets/d/1eHaY18a8A9IcSdp1K8H6x8fbOy06t2VsZHhMHf-1x7Y/edit?usp=sharing"",""แผน!I25"")"),0)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hidden="1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IFERROR(__xludf.DUMMYFUNCTION("IMPORTRANGE(""https://docs.google.com/spreadsheets/d/1eHaY18a8A9IcSdp1K8H6x8fbOy06t2VsZHhMHf-1x7Y/edit?usp=sharing"",""แผน!F25"")"),0)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hidden="1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IFERROR(__xludf.DUMMYFUNCTION("IMPORTRANGE(""https://docs.google.com/spreadsheets/d/1eHaY18a8A9IcSdp1K8H6x8fbOy06t2VsZHhMHf-1x7Y/edit?usp=sharing"",""แผน!G25"")"),0)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hidden="1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IFERROR(__xludf.DUMMYFUNCTION("IMPORTRANGE(""https://docs.google.com/spreadsheets/d/1eHaY18a8A9IcSdp1K8H6x8fbOy06t2VsZHhMHf-1x7Y/edit?usp=sharing"",""แผน!D25"")"),0)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hidden="1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IFERROR(__xludf.DUMMYFUNCTION("IMPORTRANGE(""https://docs.google.com/spreadsheets/d/1eHaY18a8A9IcSdp1K8H6x8fbOy06t2VsZHhMHf-1x7Y/edit?usp=sharing"",""แผน!E25"")"),0)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hidden="1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IFERROR(__xludf.DUMMYFUNCTION("IMPORTRANGE(""https://docs.google.com/spreadsheets/d/1eHaY18a8A9IcSdp1K8H6x8fbOy06t2VsZHhMHf-1x7Y/edit?usp=sharing"",""แผน!J25"")"),0)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60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20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170160</v>
      </c>
      <c r="R95" s="515">
        <f t="shared" ca="1" si="62"/>
        <v>170160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170160</v>
      </c>
      <c r="R97" s="230">
        <f t="shared" ca="1" si="66"/>
        <v>170160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170160</v>
      </c>
      <c r="R98" s="230">
        <f t="shared" ca="1" si="68"/>
        <v>170160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IFERROR(__xludf.DUMMYFUNCTION("IMPORTRANGE(""https://docs.google.com/spreadsheets/d/1-uDff_7J0KD5mKrp0Vvzr7lt3OU09vwQwhkpOPPYv2Y/edit?usp=sharing"",""งบพรบ!AW25"")"),0)</f>
        <v>0</v>
      </c>
      <c r="M100" s="230">
        <f ca="1">IFERROR(__xludf.DUMMYFUNCTION("IMPORTRANGE(""https://docs.google.com/spreadsheets/d/1-uDff_7J0KD5mKrp0Vvzr7lt3OU09vwQwhkpOPPYv2Y/edit?usp=sharing"",""งบพรบ!BB25"")"),0)</f>
        <v>0</v>
      </c>
      <c r="N100" s="230">
        <f ca="1">IFERROR(__xludf.DUMMYFUNCTION("IMPORTRANGE(""https://docs.google.com/spreadsheets/d/1-uDff_7J0KD5mKrp0Vvzr7lt3OU09vwQwhkpOPPYv2Y/edit?usp=sharing"",""งบพรบ!BD25"")"),0)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IFERROR(__xludf.DUMMYFUNCTION("IMPORTRANGE(""https://docs.google.com/spreadsheets/d/1ItG2mGa2ceCfYo0BwxsXqNm01IGEUdYcSSLTEv9YCik/edit?usp=sharing"",""เบิกจ่ายกองทุน!AD25"")"),170160)</f>
        <v>170160</v>
      </c>
      <c r="R100" s="230">
        <f ca="1">IFERROR(__xludf.DUMMYFUNCTION("IMPORTRANGE(""https://docs.google.com/spreadsheets/d/1ItG2mGa2ceCfYo0BwxsXqNm01IGEUdYcSSLTEv9YCik/edit?usp=sharing"",""เบิกจ่ายกองทุน!AE25"")"),170160)</f>
        <v>170160</v>
      </c>
      <c r="S100" s="230">
        <f ca="1">IFERROR(__xludf.DUMMYFUNCTION("IMPORTRANGE(""https://docs.google.com/spreadsheets/d/1ItG2mGa2ceCfYo0BwxsXqNm01IGEUdYcSSLTEv9YCik/edit?usp=sharing"",""เบิกจ่ายกองทุน!AF25"")"),0)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IFERROR(__xludf.DUMMYFUNCTION("IMPORTRANGE(""https://docs.google.com/spreadsheets/d/1-uDff_7J0KD5mKrp0Vvzr7lt3OU09vwQwhkpOPPYv2Y/edit?usp=sharing"",""งบพรบ!AZ25"")"),0)</f>
        <v>0</v>
      </c>
      <c r="M103" s="230">
        <f ca="1">IFERROR(__xludf.DUMMYFUNCTION("IMPORTRANGE(""https://docs.google.com/spreadsheets/d/1-uDff_7J0KD5mKrp0Vvzr7lt3OU09vwQwhkpOPPYv2Y/edit?usp=sharing"",""งบพรบ!BC25"")"),0)</f>
        <v>0</v>
      </c>
      <c r="N103" s="230">
        <f ca="1">IFERROR(__xludf.DUMMYFUNCTION("IMPORTRANGE(""https://docs.google.com/spreadsheets/d/1-uDff_7J0KD5mKrp0Vvzr7lt3OU09vwQwhkpOPPYv2Y/edit?usp=sharing"",""งบพรบ!BE25"")"),0)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IFERROR(__xludf.DUMMYFUNCTION("IMPORTRANGE(""https://docs.google.com/spreadsheets/d/1eHaY18a8A9IcSdp1K8H6x8fbOy06t2VsZHhMHf-1x7Y/edit?usp=sharing"",""แผน!N25"")"),60)</f>
        <v>60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IFERROR(__xludf.DUMMYFUNCTION("IMPORTRANGE(""https://docs.google.com/spreadsheets/d/1eHaY18a8A9IcSdp1K8H6x8fbOy06t2VsZHhMHf-1x7Y/edit?usp=sharing"",""แผน!O25"")"),20)</f>
        <v>20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IFERROR(__xludf.DUMMYFUNCTION("IMPORTRANGE(""https://docs.google.com/spreadsheets/d/1eHaY18a8A9IcSdp1K8H6x8fbOy06t2VsZHhMHf-1x7Y/edit?usp=sharing"",""แผน!S25"")"),0)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IFERROR(__xludf.DUMMYFUNCTION("IMPORTRANGE(""https://docs.google.com/spreadsheets/d/1eHaY18a8A9IcSdp1K8H6x8fbOy06t2VsZHhMHf-1x7Y/edit?usp=sharing"",""แผน!R25"")"),20)</f>
        <v>20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20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209360</v>
      </c>
      <c r="R118" s="515">
        <f t="shared" ca="1" si="77"/>
        <v>209360</v>
      </c>
      <c r="S118" s="515">
        <f t="shared" ca="1" si="77"/>
        <v>0</v>
      </c>
      <c r="T118" s="515">
        <f t="shared" ref="T118:T126" ca="1" si="78">IF(Q118&gt;0,S118*100/Q118,0)</f>
        <v>0</v>
      </c>
      <c r="U118" s="515">
        <f t="shared" ref="U118:U126" ca="1" si="79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209360</v>
      </c>
      <c r="R120" s="230">
        <f t="shared" ca="1" si="81"/>
        <v>209360</v>
      </c>
      <c r="S120" s="230">
        <f t="shared" ca="1" si="81"/>
        <v>0</v>
      </c>
      <c r="T120" s="230">
        <f t="shared" ca="1" si="78"/>
        <v>0</v>
      </c>
      <c r="U120" s="230">
        <f t="shared" ca="1" si="79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209360</v>
      </c>
      <c r="R121" s="230">
        <f t="shared" ca="1" si="83"/>
        <v>209360</v>
      </c>
      <c r="S121" s="230">
        <f t="shared" ca="1" si="83"/>
        <v>0</v>
      </c>
      <c r="T121" s="230">
        <f t="shared" ca="1" si="78"/>
        <v>0</v>
      </c>
      <c r="U121" s="230">
        <f t="shared" ca="1" si="79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IFERROR(__xludf.DUMMYFUNCTION("IMPORTRANGE(""https://docs.google.com/spreadsheets/d/1-uDff_7J0KD5mKrp0Vvzr7lt3OU09vwQwhkpOPPYv2Y/edit?usp=sharing"",""งบพรบ!BG25"")"),0)</f>
        <v>0</v>
      </c>
      <c r="M123" s="230">
        <f ca="1">IFERROR(__xludf.DUMMYFUNCTION("IMPORTRANGE(""https://docs.google.com/spreadsheets/d/1-uDff_7J0KD5mKrp0Vvzr7lt3OU09vwQwhkpOPPYv2Y/edit?usp=sharing"",""งบพรบ!BL25"")"),0)</f>
        <v>0</v>
      </c>
      <c r="N123" s="230">
        <f ca="1">IFERROR(__xludf.DUMMYFUNCTION("IMPORTRANGE(""https://docs.google.com/spreadsheets/d/1-uDff_7J0KD5mKrp0Vvzr7lt3OU09vwQwhkpOPPYv2Y/edit?usp=sharing"",""งบพรบ!BN25"")"),0)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IFERROR(__xludf.DUMMYFUNCTION("IMPORTRANGE(""https://docs.google.com/spreadsheets/d/1ItG2mGa2ceCfYo0BwxsXqNm01IGEUdYcSSLTEv9YCik/edit?usp=sharing"",""เบิกจ่ายกองทุน!R25"")"),209360)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IFERROR(__xludf.DUMMYFUNCTION("IMPORTRANGE(""https://docs.google.com/spreadsheets/d/1ItG2mGa2ceCfYo0BwxsXqNm01IGEUdYcSSLTEv9YCik/edit?usp=sharing"",""เบิกจ่ายกองทุน!S25"")"),209360)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IFERROR(__xludf.DUMMYFUNCTION("IMPORTRANGE(""https://docs.google.com/spreadsheets/d/1ItG2mGa2ceCfYo0BwxsXqNm01IGEUdYcSSLTEv9YCik/edit?usp=sharing"",""เบิกจ่ายกองทุน!T25"")"),0)</f>
        <v>0</v>
      </c>
      <c r="T123" s="230">
        <f t="shared" ca="1" si="78"/>
        <v>0</v>
      </c>
      <c r="U123" s="230">
        <f t="shared" ca="1" si="79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IFERROR(__xludf.DUMMYFUNCTION("IMPORTRANGE(""https://docs.google.com/spreadsheets/d/1-uDff_7J0KD5mKrp0Vvzr7lt3OU09vwQwhkpOPPYv2Y/edit?usp=sharing"",""งบพรบ!BJ25"")"),0)</f>
        <v>0</v>
      </c>
      <c r="M126" s="230">
        <f ca="1">IFERROR(__xludf.DUMMYFUNCTION("IMPORTRANGE(""https://docs.google.com/spreadsheets/d/1-uDff_7J0KD5mKrp0Vvzr7lt3OU09vwQwhkpOPPYv2Y/edit?usp=sharing"",""งบพรบ!BM25"")"),0)</f>
        <v>0</v>
      </c>
      <c r="N126" s="230">
        <f ca="1">IFERROR(__xludf.DUMMYFUNCTION("IMPORTRANGE(""https://docs.google.com/spreadsheets/d/1-uDff_7J0KD5mKrp0Vvzr7lt3OU09vwQwhkpOPPYv2Y/edit?usp=sharing"",""งบพรบ!BO25"")"),0)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IFERROR(__xludf.DUMMYFUNCTION("IMPORTRANGE(""https://docs.google.com/spreadsheets/d/1eHaY18a8A9IcSdp1K8H6x8fbOy06t2VsZHhMHf-1x7Y/edit?usp=sharing"",""แผน!FF25"")"),20)</f>
        <v>20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IFERROR(__xludf.DUMMYFUNCTION("IMPORTRANGE(""https://docs.google.com/spreadsheets/d/1eHaY18a8A9IcSdp1K8H6x8fbOy06t2VsZHhMHf-1x7Y/edit?usp=sharing"",""แผน!FG25"")"),0)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IFERROR(__xludf.DUMMYFUNCTION("IMPORTRANGE(""https://docs.google.com/spreadsheets/d/1eHaY18a8A9IcSdp1K8H6x8fbOy06t2VsZHhMHf-1x7Y/edit?usp=sharing"",""แผน!FH25"")"),20)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IFERROR(__xludf.DUMMYFUNCTION("IMPORTRANGE(""https://docs.google.com/spreadsheets/d/1eHaY18a8A9IcSdp1K8H6x8fbOy06t2VsZHhMHf-1x7Y/edit?usp=sharing"",""แผน!FI25"")"),0)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0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0</v>
      </c>
      <c r="M140" s="515">
        <f t="shared" ca="1" si="90"/>
        <v>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0</v>
      </c>
      <c r="M142" s="230">
        <f t="shared" ca="1" si="96"/>
        <v>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0</v>
      </c>
      <c r="M143" s="230">
        <f t="shared" ca="1" si="98"/>
        <v>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IFERROR(__xludf.DUMMYFUNCTION("IMPORTRANGE(""https://docs.google.com/spreadsheets/d/1-uDff_7J0KD5mKrp0Vvzr7lt3OU09vwQwhkpOPPYv2Y/edit?usp=sharing"",""งบพรบ!BQ25"")"),0)</f>
        <v>0</v>
      </c>
      <c r="M145" s="230">
        <f ca="1">IFERROR(__xludf.DUMMYFUNCTION("IMPORTRANGE(""https://docs.google.com/spreadsheets/d/1-uDff_7J0KD5mKrp0Vvzr7lt3OU09vwQwhkpOPPYv2Y/edit?usp=sharing"",""งบพรบ!BV25"")"),0)</f>
        <v>0</v>
      </c>
      <c r="N145" s="230">
        <f ca="1">IFERROR(__xludf.DUMMYFUNCTION("IMPORTRANGE(""https://docs.google.com/spreadsheets/d/1-uDff_7J0KD5mKrp0Vvzr7lt3OU09vwQwhkpOPPYv2Y/edit?usp=sharing"",""งบพรบ!BX25"")"),0)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IFERROR(__xludf.DUMMYFUNCTION("IMPORTRANGE(""https://docs.google.com/spreadsheets/d/1ItG2mGa2ceCfYo0BwxsXqNm01IGEUdYcSSLTEv9YCik/edit?usp=sharing"",""เบิกจ่ายกองทุน!BB25"")"),0)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IFERROR(__xludf.DUMMYFUNCTION("IMPORTRANGE(""https://docs.google.com/spreadsheets/d/1ItG2mGa2ceCfYo0BwxsXqNm01IGEUdYcSSLTEv9YCik/edit?usp=sharing"",""เบิกจ่ายกองทุน!BC25"")"),0)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IFERROR(__xludf.DUMMYFUNCTION("IMPORTRANGE(""https://docs.google.com/spreadsheets/d/1ItG2mGa2ceCfYo0BwxsXqNm01IGEUdYcSSLTEv9YCik/edit?usp=sharing"",""เบิกจ่ายกองทุน!BD25"")"),0)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IFERROR(__xludf.DUMMYFUNCTION("IMPORTRANGE(""https://docs.google.com/spreadsheets/d/1-uDff_7J0KD5mKrp0Vvzr7lt3OU09vwQwhkpOPPYv2Y/edit?usp=sharing"",""งบพรบ!BT25"")"),0)</f>
        <v>0</v>
      </c>
      <c r="M148" s="230">
        <f ca="1">IFERROR(__xludf.DUMMYFUNCTION("IMPORTRANGE(""https://docs.google.com/spreadsheets/d/1-uDff_7J0KD5mKrp0Vvzr7lt3OU09vwQwhkpOPPYv2Y/edit?usp=sharing"",""งบพรบ!BW25"")"),0)</f>
        <v>0</v>
      </c>
      <c r="N148" s="230">
        <f ca="1">IFERROR(__xludf.DUMMYFUNCTION("IMPORTRANGE(""https://docs.google.com/spreadsheets/d/1-uDff_7J0KD5mKrp0Vvzr7lt3OU09vwQwhkpOPPYv2Y/edit?usp=sharing"",""งบพรบ!BY25"")"),0)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IFERROR(__xludf.DUMMYFUNCTION("IMPORTRANGE(""https://docs.google.com/spreadsheets/d/1eHaY18a8A9IcSdp1K8H6x8fbOy06t2VsZHhMHf-1x7Y/edit?usp=sharing"",""แผน!U25"")"),0)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IFERROR(__xludf.DUMMYFUNCTION("IMPORTRANGE(""https://docs.google.com/spreadsheets/d/1eHaY18a8A9IcSdp1K8H6x8fbOy06t2VsZHhMHf-1x7Y/edit?usp=sharing"",""แผน!V25"")"),0)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IFERROR(__xludf.DUMMYFUNCTION("IMPORTRANGE(""https://docs.google.com/spreadsheets/d/1eHaY18a8A9IcSdp1K8H6x8fbOy06t2VsZHhMHf-1x7Y/edit?usp=sharing"",""แผน!W25"")"),0)</f>
        <v>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IFERROR(__xludf.DUMMYFUNCTION("IMPORTRANGE(""https://docs.google.com/spreadsheets/d/1eHaY18a8A9IcSdp1K8H6x8fbOy06t2VsZHhMHf-1x7Y/edit?usp=sharing"",""แผน!X25"")"),0)</f>
        <v>0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IFERROR(__xludf.DUMMYFUNCTION("IMPORTRANGE(""https://docs.google.com/spreadsheets/d/1eHaY18a8A9IcSdp1K8H6x8fbOy06t2VsZHhMHf-1x7Y/edit?usp=sharing"",""แผน!Y25"")"),0)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I168</f>
        <v>10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3000</v>
      </c>
      <c r="M158" s="515">
        <f t="shared" ca="1" si="104"/>
        <v>2250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3000</v>
      </c>
      <c r="M160" s="230">
        <f t="shared" ca="1" si="110"/>
        <v>2250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3000</v>
      </c>
      <c r="M161" s="230">
        <f t="shared" ca="1" si="112"/>
        <v>2250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IFERROR(__xludf.DUMMYFUNCTION("IMPORTRANGE(""https://docs.google.com/spreadsheets/d/1-uDff_7J0KD5mKrp0Vvzr7lt3OU09vwQwhkpOPPYv2Y/edit?usp=sharing"",""งบพรบ!CA25"")"),3000)</f>
        <v>3000</v>
      </c>
      <c r="M163" s="230">
        <f ca="1">IFERROR(__xludf.DUMMYFUNCTION("IMPORTRANGE(""https://docs.google.com/spreadsheets/d/1-uDff_7J0KD5mKrp0Vvzr7lt3OU09vwQwhkpOPPYv2Y/edit?usp=sharing"",""งบพรบ!CF25"")"),2250)</f>
        <v>2250</v>
      </c>
      <c r="N163" s="230">
        <f ca="1">IFERROR(__xludf.DUMMYFUNCTION("IMPORTRANGE(""https://docs.google.com/spreadsheets/d/1-uDff_7J0KD5mKrp0Vvzr7lt3OU09vwQwhkpOPPYv2Y/edit?usp=sharing"",""งบพรบ!CH25"")"),0)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IFERROR(__xludf.DUMMYFUNCTION("IMPORTRANGE(""https://docs.google.com/spreadsheets/d/1ItG2mGa2ceCfYo0BwxsXqNm01IGEUdYcSSLTEv9YCik/edit?usp=sharing"",""เบิกจ่ายกองทุน!AG25"")"),0)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IFERROR(__xludf.DUMMYFUNCTION("IMPORTRANGE(""https://docs.google.com/spreadsheets/d/1ItG2mGa2ceCfYo0BwxsXqNm01IGEUdYcSSLTEv9YCik/edit?usp=sharing"",""เบิกจ่ายกองทุน!AH25"")"),0)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IFERROR(__xludf.DUMMYFUNCTION("IMPORTRANGE(""https://docs.google.com/spreadsheets/d/1ItG2mGa2ceCfYo0BwxsXqNm01IGEUdYcSSLTEv9YCik/edit?usp=sharing"",""เบิกจ่ายกองทุน!AI25"")"),0)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IFERROR(__xludf.DUMMYFUNCTION("IMPORTRANGE(""https://docs.google.com/spreadsheets/d/1-uDff_7J0KD5mKrp0Vvzr7lt3OU09vwQwhkpOPPYv2Y/edit?usp=sharing"",""งบพรบ!CD25"")"),0)</f>
        <v>0</v>
      </c>
      <c r="M166" s="230">
        <f ca="1">IFERROR(__xludf.DUMMYFUNCTION("IMPORTRANGE(""https://docs.google.com/spreadsheets/d/1-uDff_7J0KD5mKrp0Vvzr7lt3OU09vwQwhkpOPPYv2Y/edit?usp=sharing"",""งบพรบ!CG25"")"),0)</f>
        <v>0</v>
      </c>
      <c r="N166" s="230">
        <f ca="1">IFERROR(__xludf.DUMMYFUNCTION("IMPORTRANGE(""https://docs.google.com/spreadsheets/d/1-uDff_7J0KD5mKrp0Vvzr7lt3OU09vwQwhkpOPPYv2Y/edit?usp=sharing"",""งบพรบ!CI25"")"),0)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IFERROR(__xludf.DUMMYFUNCTION("IMPORTRANGE(""https://docs.google.com/spreadsheets/d/1eHaY18a8A9IcSdp1K8H6x8fbOy06t2VsZHhMHf-1x7Y/edit?usp=sharing"",""แผน!Z25"")"),10)</f>
        <v>10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39980</v>
      </c>
      <c r="N174" s="515">
        <f t="shared" ca="1" si="118"/>
        <v>17810</v>
      </c>
      <c r="O174" s="515">
        <f t="shared" ref="O174:O182" ca="1" si="119">IF(L174&gt;0,N174*100/L174,0)</f>
        <v>90.913731495661054</v>
      </c>
      <c r="P174" s="515">
        <f t="shared" ref="P174:P182" ca="1" si="120">IF(M174&gt;0,N174*100/M174,0)</f>
        <v>44.54727363681841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39980</v>
      </c>
      <c r="N176" s="230">
        <f t="shared" ca="1" si="124"/>
        <v>17810</v>
      </c>
      <c r="O176" s="230">
        <f t="shared" ca="1" si="119"/>
        <v>90.913731495661054</v>
      </c>
      <c r="P176" s="230">
        <f t="shared" ca="1" si="120"/>
        <v>44.54727363681841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39980</v>
      </c>
      <c r="N177" s="230">
        <f t="shared" ca="1" si="126"/>
        <v>17810</v>
      </c>
      <c r="O177" s="230">
        <f t="shared" ca="1" si="119"/>
        <v>90.913731495661054</v>
      </c>
      <c r="P177" s="230">
        <f t="shared" ca="1" si="120"/>
        <v>44.54727363681841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IFERROR(__xludf.DUMMYFUNCTION("IMPORTRANGE(""https://docs.google.com/spreadsheets/d/1-uDff_7J0KD5mKrp0Vvzr7lt3OU09vwQwhkpOPPYv2Y/edit?usp=sharing"",""งบพรบ!CK25"")"),19590)</f>
        <v>19590</v>
      </c>
      <c r="M179" s="230">
        <f ca="1">IFERROR(__xludf.DUMMYFUNCTION("IMPORTRANGE(""https://docs.google.com/spreadsheets/d/1-uDff_7J0KD5mKrp0Vvzr7lt3OU09vwQwhkpOPPYv2Y/edit?usp=sharing"",""งบพรบ!CP25"")"),39980)</f>
        <v>39980</v>
      </c>
      <c r="N179" s="230">
        <f ca="1">IFERROR(__xludf.DUMMYFUNCTION("IMPORTRANGE(""https://docs.google.com/spreadsheets/d/1-uDff_7J0KD5mKrp0Vvzr7lt3OU09vwQwhkpOPPYv2Y/edit?usp=sharing"",""งบพรบ!CR25"")"),17810)</f>
        <v>17810</v>
      </c>
      <c r="O179" s="230">
        <f t="shared" ca="1" si="119"/>
        <v>90.913731495661054</v>
      </c>
      <c r="P179" s="230">
        <f t="shared" ca="1" si="120"/>
        <v>44.54727363681841</v>
      </c>
      <c r="Q179" s="230">
        <f ca="1">IFERROR(__xludf.DUMMYFUNCTION("IMPORTRANGE(""https://docs.google.com/spreadsheets/d/1ItG2mGa2ceCfYo0BwxsXqNm01IGEUdYcSSLTEv9YCik/edit?usp=sharing"",""เบิกจ่ายกองทุน!BE25"")"),0)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IFERROR(__xludf.DUMMYFUNCTION("IMPORTRANGE(""https://docs.google.com/spreadsheets/d/1ItG2mGa2ceCfYo0BwxsXqNm01IGEUdYcSSLTEv9YCik/edit?usp=sharing"",""เบิกจ่ายกองทุน!BF25"")"),0)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IFERROR(__xludf.DUMMYFUNCTION("IMPORTRANGE(""https://docs.google.com/spreadsheets/d/1ItG2mGa2ceCfYo0BwxsXqNm01IGEUdYcSSLTEv9YCik/edit?usp=sharing"",""เบิกจ่ายกองทุน!BG25"")"),0)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IFERROR(__xludf.DUMMYFUNCTION("IMPORTRANGE(""https://docs.google.com/spreadsheets/d/1-uDff_7J0KD5mKrp0Vvzr7lt3OU09vwQwhkpOPPYv2Y/edit?usp=sharing"",""งบพรบ!CN25"")"),0)</f>
        <v>0</v>
      </c>
      <c r="M182" s="230">
        <f ca="1">IFERROR(__xludf.DUMMYFUNCTION("IMPORTRANGE(""https://docs.google.com/spreadsheets/d/1-uDff_7J0KD5mKrp0Vvzr7lt3OU09vwQwhkpOPPYv2Y/edit?usp=sharing"",""งบพรบ!CQ25"")"),0)</f>
        <v>0</v>
      </c>
      <c r="N182" s="230">
        <f ca="1">IFERROR(__xludf.DUMMYFUNCTION("IMPORTRANGE(""https://docs.google.com/spreadsheets/d/1-uDff_7J0KD5mKrp0Vvzr7lt3OU09vwQwhkpOPPYv2Y/edit?usp=sharing"",""งบพรบ!CS25"")"),0)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IFERROR(__xludf.DUMMYFUNCTION("IMPORTRANGE(""https://docs.google.com/spreadsheets/d/1eHaY18a8A9IcSdp1K8H6x8fbOy06t2VsZHhMHf-1x7Y/edit?usp=sharing"",""แผน!AA25"")"),7)</f>
        <v>7</v>
      </c>
      <c r="J184" s="520">
        <v>7</v>
      </c>
      <c r="K184" s="230">
        <f t="shared" ref="K184:K186" ca="1" si="130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122500</v>
      </c>
      <c r="M187" s="515">
        <f t="shared" ca="1" si="132"/>
        <v>132200</v>
      </c>
      <c r="N187" s="515">
        <f t="shared" ca="1" si="132"/>
        <v>40517</v>
      </c>
      <c r="O187" s="515">
        <f t="shared" ref="O187:O195" ca="1" si="133">IF(L187&gt;0,N187*100/L187,0)</f>
        <v>33.075102040816326</v>
      </c>
      <c r="P187" s="515">
        <f t="shared" ref="P187:P195" ca="1" si="134">IF(M187&gt;0,N187*100/M187,0)</f>
        <v>30.648260211800302</v>
      </c>
      <c r="Q187" s="515">
        <f t="shared" ref="Q187:S187" ca="1" si="135">Q188+Q189</f>
        <v>20000</v>
      </c>
      <c r="R187" s="515">
        <f t="shared" ca="1" si="135"/>
        <v>20000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122500</v>
      </c>
      <c r="M189" s="230">
        <f t="shared" ca="1" si="138"/>
        <v>132200</v>
      </c>
      <c r="N189" s="230">
        <f t="shared" ca="1" si="138"/>
        <v>40517</v>
      </c>
      <c r="O189" s="230">
        <f t="shared" ca="1" si="133"/>
        <v>33.075102040816326</v>
      </c>
      <c r="P189" s="230">
        <f t="shared" ca="1" si="134"/>
        <v>30.648260211800302</v>
      </c>
      <c r="Q189" s="230">
        <f t="shared" ca="1" si="139"/>
        <v>20000</v>
      </c>
      <c r="R189" s="230">
        <f t="shared" ca="1" si="139"/>
        <v>20000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122500</v>
      </c>
      <c r="M190" s="230">
        <f t="shared" ca="1" si="140"/>
        <v>132200</v>
      </c>
      <c r="N190" s="230">
        <f t="shared" ca="1" si="140"/>
        <v>40517</v>
      </c>
      <c r="O190" s="230">
        <f t="shared" ca="1" si="133"/>
        <v>33.075102040816326</v>
      </c>
      <c r="P190" s="230">
        <f t="shared" ca="1" si="134"/>
        <v>30.648260211800302</v>
      </c>
      <c r="Q190" s="230">
        <f t="shared" ref="Q190:S190" ca="1" si="141">Q191+Q192</f>
        <v>20000</v>
      </c>
      <c r="R190" s="230">
        <f t="shared" ca="1" si="141"/>
        <v>20000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IFERROR(__xludf.DUMMYFUNCTION("IMPORTRANGE(""https://docs.google.com/spreadsheets/d/1-uDff_7J0KD5mKrp0Vvzr7lt3OU09vwQwhkpOPPYv2Y/edit?usp=sharing"",""งบพรบ!CU25"")"),122500)</f>
        <v>122500</v>
      </c>
      <c r="M192" s="230">
        <f ca="1">IFERROR(__xludf.DUMMYFUNCTION("IMPORTRANGE(""https://docs.google.com/spreadsheets/d/1-uDff_7J0KD5mKrp0Vvzr7lt3OU09vwQwhkpOPPYv2Y/edit?usp=sharing"",""งบพรบ!CZ25"")"),132200)</f>
        <v>132200</v>
      </c>
      <c r="N192" s="230">
        <f ca="1">IFERROR(__xludf.DUMMYFUNCTION("IMPORTRANGE(""https://docs.google.com/spreadsheets/d/1-uDff_7J0KD5mKrp0Vvzr7lt3OU09vwQwhkpOPPYv2Y/edit?usp=sharing"",""งบพรบ!DB25"")"),40517)</f>
        <v>40517</v>
      </c>
      <c r="O192" s="230">
        <f t="shared" ca="1" si="133"/>
        <v>33.075102040816326</v>
      </c>
      <c r="P192" s="230">
        <f t="shared" ca="1" si="134"/>
        <v>30.648260211800302</v>
      </c>
      <c r="Q192" s="230">
        <f ca="1">IFERROR(__xludf.DUMMYFUNCTION("IMPORTRANGE(""https://docs.google.com/spreadsheets/d/1ItG2mGa2ceCfYo0BwxsXqNm01IGEUdYcSSLTEv9YCik/edit?usp=sharing"",""เบิกจ่ายกองทุน!AV25"")"),20000)</f>
        <v>20000</v>
      </c>
      <c r="R192" s="230">
        <f ca="1">IFERROR(__xludf.DUMMYFUNCTION("IMPORTRANGE(""https://docs.google.com/spreadsheets/d/1ItG2mGa2ceCfYo0BwxsXqNm01IGEUdYcSSLTEv9YCik/edit?usp=sharing"",""เบิกจ่ายกองทุน!AW25"")"),20000)</f>
        <v>20000</v>
      </c>
      <c r="S192" s="230">
        <f ca="1">IFERROR(__xludf.DUMMYFUNCTION("IMPORTRANGE(""https://docs.google.com/spreadsheets/d/1ItG2mGa2ceCfYo0BwxsXqNm01IGEUdYcSSLTEv9YCik/edit?usp=sharing"",""เบิกจ่ายกองทุน!AX25"")"),0)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IFERROR(__xludf.DUMMYFUNCTION("IMPORTRANGE(""https://docs.google.com/spreadsheets/d/1-uDff_7J0KD5mKrp0Vvzr7lt3OU09vwQwhkpOPPYv2Y/edit?usp=sharing"",""งบพรบ!CX25"")"),0)</f>
        <v>0</v>
      </c>
      <c r="M195" s="230">
        <f ca="1">IFERROR(__xludf.DUMMYFUNCTION("IMPORTRANGE(""https://docs.google.com/spreadsheets/d/1-uDff_7J0KD5mKrp0Vvzr7lt3OU09vwQwhkpOPPYv2Y/edit?usp=sharing"",""งบพรบ!DA25"")"),0)</f>
        <v>0</v>
      </c>
      <c r="N195" s="230">
        <f ca="1">IFERROR(__xludf.DUMMYFUNCTION("IMPORTRANGE(""https://docs.google.com/spreadsheets/d/1-uDff_7J0KD5mKrp0Vvzr7lt3OU09vwQwhkpOPPYv2Y/edit?usp=sharing"",""งบพรบ!DC25"")"),0)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2</v>
      </c>
      <c r="K196" s="314">
        <f ca="1">IF(I196&gt;0,J196*100/I196,0)</f>
        <v>50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IFERROR(__xludf.DUMMYFUNCTION("IMPORTRANGE(""https://docs.google.com/spreadsheets/d/1eHaY18a8A9IcSdp1K8H6x8fbOy06t2VsZHhMHf-1x7Y/edit?usp=sharing"",""แผน!AB25"")"),6000)</f>
        <v>6000</v>
      </c>
      <c r="M197" s="42"/>
      <c r="N197" s="540">
        <v>2080</v>
      </c>
      <c r="O197" s="515">
        <f ca="1">IF(L197&gt;0,N197*100/L197,0)</f>
        <v>34.666666666666664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IFERROR(__xludf.DUMMYFUNCTION("IMPORTRANGE(""https://docs.google.com/spreadsheets/d/1eHaY18a8A9IcSdp1K8H6x8fbOy06t2VsZHhMHf-1x7Y/edit?usp=sharing"",""แผน!AE25"")"),4)</f>
        <v>4</v>
      </c>
      <c r="J199" s="520">
        <v>2</v>
      </c>
      <c r="K199" s="230">
        <f ca="1">IF(I199&gt;0,J199*100/I199,0)</f>
        <v>50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1</v>
      </c>
      <c r="J203" s="313">
        <f t="shared" si="145"/>
        <v>1</v>
      </c>
      <c r="K203" s="314">
        <f ca="1">IF(I203&gt;0,J203*100/I203,0)</f>
        <v>100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13000</v>
      </c>
      <c r="M204" s="42"/>
      <c r="N204" s="515">
        <f>N205+N206+N207+N208</f>
        <v>8000</v>
      </c>
      <c r="O204" s="515">
        <f ca="1">IF(L204&gt;0,N204*100/L204,0)</f>
        <v>61.53846153846154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IFERROR(__xludf.DUMMYFUNCTION("IMPORTRANGE(""https://docs.google.com/spreadsheets/d/1eHaY18a8A9IcSdp1K8H6x8fbOy06t2VsZHhMHf-1x7Y/edit?usp=sharing"",""แผน!AG25"")"),1000)</f>
        <v>1000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IFERROR(__xludf.DUMMYFUNCTION("IMPORTRANGE(""https://docs.google.com/spreadsheets/d/1eHaY18a8A9IcSdp1K8H6x8fbOy06t2VsZHhMHf-1x7Y/edit?usp=sharing"",""แผน!AH25"")"),0)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IFERROR(__xludf.DUMMYFUNCTION("IMPORTRANGE(""https://docs.google.com/spreadsheets/d/1eHaY18a8A9IcSdp1K8H6x8fbOy06t2VsZHhMHf-1x7Y/edit?usp=sharing"",""แผน!AI25"")"),8000)</f>
        <v>8000</v>
      </c>
      <c r="M207" s="42"/>
      <c r="N207" s="541">
        <v>8000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IFERROR(__xludf.DUMMYFUNCTION("IMPORTRANGE(""https://docs.google.com/spreadsheets/d/1eHaY18a8A9IcSdp1K8H6x8fbOy06t2VsZHhMHf-1x7Y/edit?usp=sharing"",""แผน!AJ25"")"),4000)</f>
        <v>4000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IFERROR(__xludf.DUMMYFUNCTION("IMPORTRANGE(""https://docs.google.com/spreadsheets/d/1eHaY18a8A9IcSdp1K8H6x8fbOy06t2VsZHhMHf-1x7Y/edit?usp=sharing"",""แผน!AK25"")"),1)</f>
        <v>1</v>
      </c>
      <c r="J210" s="520">
        <v>1</v>
      </c>
      <c r="K210" s="521">
        <f ca="1">IF(I210&gt;0,J210*100/I210,0)</f>
        <v>100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IFERROR(__xludf.DUMMYFUNCTION("IMPORTRANGE(""https://docs.google.com/spreadsheets/d/1eHaY18a8A9IcSdp1K8H6x8fbOy06t2VsZHhMHf-1x7Y/edit?usp=sharing"",""แผน!JX25"")"),1)</f>
        <v>1</v>
      </c>
      <c r="J212" s="520">
        <v>1</v>
      </c>
      <c r="K212" s="521">
        <f t="shared" ref="K212:K214" ca="1" si="146">IF(I212&gt;0,J212*100/I212,0)</f>
        <v>100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IFERROR(__xludf.DUMMYFUNCTION("IMPORTRANGE(""https://docs.google.com/spreadsheets/d/1eHaY18a8A9IcSdp1K8H6x8fbOy06t2VsZHhMHf-1x7Y/edit?usp=sharing"",""แผน!JY25"")"),0)</f>
        <v>0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IFERROR(__xludf.DUMMYFUNCTION("IMPORTRANGE(""https://docs.google.com/spreadsheets/d/1eHaY18a8A9IcSdp1K8H6x8fbOy06t2VsZHhMHf-1x7Y/edit?usp=sharing"",""แผน!AM25"")"),0)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IFERROR(__xludf.DUMMYFUNCTION("IMPORTRANGE(""https://docs.google.com/spreadsheets/d/1eHaY18a8A9IcSdp1K8H6x8fbOy06t2VsZHhMHf-1x7Y/edit?usp=sharing"",""แผน!AN25"")"),0)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IFERROR(__xludf.DUMMYFUNCTION("IMPORTRANGE(""https://docs.google.com/spreadsheets/d/1eHaY18a8A9IcSdp1K8H6x8fbOy06t2VsZHhMHf-1x7Y/edit?usp=sharing"",""แผน!AO25"")"),0)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IFERROR(__xludf.DUMMYFUNCTION("IMPORTRANGE(""https://docs.google.com/spreadsheets/d/1eHaY18a8A9IcSdp1K8H6x8fbOy06t2VsZHhMHf-1x7Y/edit?usp=sharing"",""แผน!AP25"")"),0)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IFERROR(__xludf.DUMMYFUNCTION("IMPORTRANGE(""https://docs.google.com/spreadsheets/d/1eHaY18a8A9IcSdp1K8H6x8fbOy06t2VsZHhMHf-1x7Y/edit?usp=sharing"",""แผน!AP25"")"),0)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100000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12500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IFERROR(__xludf.DUMMYFUNCTION("IMPORTRANGE(""https://docs.google.com/spreadsheets/d/1eHaY18a8A9IcSdp1K8H6x8fbOy06t2VsZHhMHf-1x7Y/edit?usp=sharing"",""แผน!AR25"")"),11000)</f>
        <v>11000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IFERROR(__xludf.DUMMYFUNCTION("IMPORTRANGE(""https://docs.google.com/spreadsheets/d/1eHaY18a8A9IcSdp1K8H6x8fbOy06t2VsZHhMHf-1x7Y/edit?usp=sharing"",""แผน!AS25"")"),1500)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IFERROR(__xludf.DUMMYFUNCTION("IMPORTRANGE(""https://docs.google.com/spreadsheets/d/1eHaY18a8A9IcSdp1K8H6x8fbOy06t2VsZHhMHf-1x7Y/edit?usp=sharing"",""แผน!AT25"")"),0)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IFERROR(__xludf.DUMMYFUNCTION("IMPORTRANGE(""https://docs.google.com/spreadsheets/d/1eHaY18a8A9IcSdp1K8H6x8fbOy06t2VsZHhMHf-1x7Y/edit?usp=sharing"",""แผน!AV25"")"),100000)</f>
        <v>100000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IFERROR(__xludf.DUMMYFUNCTION("IMPORTRANGE(""https://docs.google.com/spreadsheets/d/1eHaY18a8A9IcSdp1K8H6x8fbOy06t2VsZHhMHf-1x7Y/edit?usp=sharing"",""แผน!AV25"")"),100000)</f>
        <v>100000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IFERROR(__xludf.DUMMYFUNCTION("IMPORTRANGE(""https://docs.google.com/spreadsheets/d/1eHaY18a8A9IcSdp1K8H6x8fbOy06t2VsZHhMHf-1x7Y/edit?usp=sharing"",""แผน!AU25"")"),0)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IFERROR(__xludf.DUMMYFUNCTION("IMPORTRANGE(""https://docs.google.com/spreadsheets/d/1eHaY18a8A9IcSdp1K8H6x8fbOy06t2VsZHhMHf-1x7Y/edit?usp=sharing"",""แผน!AX25"")"),0)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IFERROR(__xludf.DUMMYFUNCTION("IMPORTRANGE(""https://docs.google.com/spreadsheets/d/1eHaY18a8A9IcSdp1K8H6x8fbOy06t2VsZHhMHf-1x7Y/edit?usp=sharing"",""แผน!AY25"")"),0)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IFERROR(__xludf.DUMMYFUNCTION("IMPORTRANGE(""https://docs.google.com/spreadsheets/d/1eHaY18a8A9IcSdp1K8H6x8fbOy06t2VsZHhMHf-1x7Y/edit?usp=sharing"",""แผน!AZ25"")"),0)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IFERROR(__xludf.DUMMYFUNCTION("IMPORTRANGE(""https://docs.google.com/spreadsheets/d/1eHaY18a8A9IcSdp1K8H6x8fbOy06t2VsZHhMHf-1x7Y/edit?usp=sharing"",""แผน!BA25"")"),0)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IFERROR(__xludf.DUMMYFUNCTION("IMPORTRANGE(""https://docs.google.com/spreadsheets/d/1eHaY18a8A9IcSdp1K8H6x8fbOy06t2VsZHhMHf-1x7Y/edit?usp=sharing"",""แผน!BG25"")"),0)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IFERROR(__xludf.DUMMYFUNCTION("IMPORTRANGE(""https://docs.google.com/spreadsheets/d/1eHaY18a8A9IcSdp1K8H6x8fbOy06t2VsZHhMHf-1x7Y/edit?usp=sharing"",""แผน!BB25"")"),0)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IFERROR(__xludf.DUMMYFUNCTION("IMPORTRANGE(""https://docs.google.com/spreadsheets/d/1eHaY18a8A9IcSdp1K8H6x8fbOy06t2VsZHhMHf-1x7Y/edit?usp=sharing"",""แผน!BC25"")"),0)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IFERROR(__xludf.DUMMYFUNCTION("IMPORTRANGE(""https://docs.google.com/spreadsheets/d/1eHaY18a8A9IcSdp1K8H6x8fbOy06t2VsZHhMHf-1x7Y/edit?usp=sharing"",""แผน!BD25"")"),0)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IFERROR(__xludf.DUMMYFUNCTION("IMPORTRANGE(""https://docs.google.com/spreadsheets/d/1eHaY18a8A9IcSdp1K8H6x8fbOy06t2VsZHhMHf-1x7Y/edit?usp=sharing"",""แผน!BE25"")"),0)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IFERROR(__xludf.DUMMYFUNCTION("IMPORTRANGE(""https://docs.google.com/spreadsheets/d/1eHaY18a8A9IcSdp1K8H6x8fbOy06t2VsZHhMHf-1x7Y/edit?usp=sharing"",""แผน!BH25"")"),0)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20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47880</v>
      </c>
      <c r="R267" s="583">
        <f t="shared" ca="1" si="165"/>
        <v>47880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47880</v>
      </c>
      <c r="R269" s="592">
        <f t="shared" ca="1" si="169"/>
        <v>47880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47880</v>
      </c>
      <c r="R270" s="592">
        <f t="shared" ca="1" si="171"/>
        <v>47880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IFERROR(__xludf.DUMMYFUNCTION("IMPORTRANGE(""https://docs.google.com/spreadsheets/d/1-uDff_7J0KD5mKrp0Vvzr7lt3OU09vwQwhkpOPPYv2Y/edit?usp=sharing"",""งบพรบ!DE25"")"),0)</f>
        <v>0</v>
      </c>
      <c r="M272" s="592">
        <f ca="1">IFERROR(__xludf.DUMMYFUNCTION("IMPORTRANGE(""https://docs.google.com/spreadsheets/d/1-uDff_7J0KD5mKrp0Vvzr7lt3OU09vwQwhkpOPPYv2Y/edit?usp=sharing"",""งบพรบ!DJ25"")"),5000)</f>
        <v>5000</v>
      </c>
      <c r="N272" s="592">
        <f ca="1">IFERROR(__xludf.DUMMYFUNCTION("IMPORTRANGE(""https://docs.google.com/spreadsheets/d/1-uDff_7J0KD5mKrp0Vvzr7lt3OU09vwQwhkpOPPYv2Y/edit?usp=sharing"",""งบพรบ!DL25"")"),0)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IFERROR(__xludf.DUMMYFUNCTION("IMPORTRANGE(""https://docs.google.com/spreadsheets/d/1ItG2mGa2ceCfYo0BwxsXqNm01IGEUdYcSSLTEv9YCik/edit?usp=sharing"",""เบิกจ่ายกองทุน!AJ25"")"),47880)</f>
        <v>47880</v>
      </c>
      <c r="R272" s="592">
        <f ca="1">IFERROR(__xludf.DUMMYFUNCTION("IMPORTRANGE(""https://docs.google.com/spreadsheets/d/1ItG2mGa2ceCfYo0BwxsXqNm01IGEUdYcSSLTEv9YCik/edit?usp=sharing"",""เบิกจ่ายกองทุน!AK25"")"),47880)</f>
        <v>47880</v>
      </c>
      <c r="S272" s="592">
        <f ca="1">IFERROR(__xludf.DUMMYFUNCTION("IMPORTRANGE(""https://docs.google.com/spreadsheets/d/1ItG2mGa2ceCfYo0BwxsXqNm01IGEUdYcSSLTEv9YCik/edit?usp=sharing"",""เบิกจ่ายกองทุน!AL25"")"),0)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IFERROR(__xludf.DUMMYFUNCTION("IMPORTRANGE(""https://docs.google.com/spreadsheets/d/1-uDff_7J0KD5mKrp0Vvzr7lt3OU09vwQwhkpOPPYv2Y/edit?usp=sharing"",""งบพรบ!DH25"")"),0)</f>
        <v>0</v>
      </c>
      <c r="M275" s="592">
        <f ca="1">IFERROR(__xludf.DUMMYFUNCTION("IMPORTRANGE(""https://docs.google.com/spreadsheets/d/1-uDff_7J0KD5mKrp0Vvzr7lt3OU09vwQwhkpOPPYv2Y/edit?usp=sharing"",""งบพรบ!DK25"")"),0)</f>
        <v>0</v>
      </c>
      <c r="N275" s="592">
        <f ca="1">IFERROR(__xludf.DUMMYFUNCTION("IMPORTRANGE(""https://docs.google.com/spreadsheets/d/1-uDff_7J0KD5mKrp0Vvzr7lt3OU09vwQwhkpOPPYv2Y/edit?usp=sharing"",""งบพรบ!DM25"")"),0)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IFERROR(__xludf.DUMMYFUNCTION("IMPORTRANGE(""https://docs.google.com/spreadsheets/d/1eHaY18a8A9IcSdp1K8H6x8fbOy06t2VsZHhMHf-1x7Y/edit?usp=sharing"",""แผน!EC25"")"),20)</f>
        <v>20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10</v>
      </c>
      <c r="J281" s="619">
        <f t="shared" si="174"/>
        <v>10</v>
      </c>
      <c r="K281" s="620">
        <f t="shared" ref="K281:K282" ca="1" si="175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100</v>
      </c>
      <c r="J282" s="619">
        <f t="shared" si="176"/>
        <v>100</v>
      </c>
      <c r="K282" s="620">
        <f t="shared" ca="1" si="175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140120</v>
      </c>
      <c r="M283" s="515">
        <f t="shared" ca="1" si="177"/>
        <v>140120</v>
      </c>
      <c r="N283" s="515">
        <f t="shared" ca="1" si="177"/>
        <v>92766.86</v>
      </c>
      <c r="O283" s="515">
        <f t="shared" ref="O283:O291" ca="1" si="178">IF(L283&gt;0,N283*100/L283,0)</f>
        <v>66.205295461033401</v>
      </c>
      <c r="P283" s="515">
        <f t="shared" ref="P283:P291" ca="1" si="179">IF(M283&gt;0,N283*100/M283,0)</f>
        <v>66.205295461033401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140120</v>
      </c>
      <c r="M285" s="230">
        <f t="shared" ca="1" si="183"/>
        <v>140120</v>
      </c>
      <c r="N285" s="230">
        <f t="shared" ca="1" si="183"/>
        <v>92766.86</v>
      </c>
      <c r="O285" s="230">
        <f t="shared" ca="1" si="178"/>
        <v>66.205295461033401</v>
      </c>
      <c r="P285" s="230">
        <f t="shared" ca="1" si="179"/>
        <v>66.205295461033401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140120</v>
      </c>
      <c r="M286" s="230">
        <f t="shared" ca="1" si="185"/>
        <v>140120</v>
      </c>
      <c r="N286" s="230">
        <f t="shared" ca="1" si="185"/>
        <v>92766.86</v>
      </c>
      <c r="O286" s="230">
        <f t="shared" ca="1" si="178"/>
        <v>66.205295461033401</v>
      </c>
      <c r="P286" s="230">
        <f t="shared" ca="1" si="179"/>
        <v>66.205295461033401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IFERROR(__xludf.DUMMYFUNCTION("IMPORTRANGE(""https://docs.google.com/spreadsheets/d/1-uDff_7J0KD5mKrp0Vvzr7lt3OU09vwQwhkpOPPYv2Y/edit?usp=sharing"",""งบพรบ!DO25"")"),140120)</f>
        <v>140120</v>
      </c>
      <c r="M288" s="230">
        <f ca="1">IFERROR(__xludf.DUMMYFUNCTION("IMPORTRANGE(""https://docs.google.com/spreadsheets/d/1-uDff_7J0KD5mKrp0Vvzr7lt3OU09vwQwhkpOPPYv2Y/edit?usp=sharing"",""งบพรบ!DT25"")"),140120)</f>
        <v>140120</v>
      </c>
      <c r="N288" s="230">
        <f ca="1">IFERROR(__xludf.DUMMYFUNCTION("IMPORTRANGE(""https://docs.google.com/spreadsheets/d/1-uDff_7J0KD5mKrp0Vvzr7lt3OU09vwQwhkpOPPYv2Y/edit?usp=sharing"",""งบพรบ!DV25"")"),92766.86)</f>
        <v>92766.86</v>
      </c>
      <c r="O288" s="230">
        <f t="shared" ca="1" si="178"/>
        <v>66.205295461033401</v>
      </c>
      <c r="P288" s="230">
        <f t="shared" ca="1" si="179"/>
        <v>66.205295461033401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IFERROR(__xludf.DUMMYFUNCTION("IMPORTRANGE(""https://docs.google.com/spreadsheets/d/1-uDff_7J0KD5mKrp0Vvzr7lt3OU09vwQwhkpOPPYv2Y/edit?usp=sharing"",""งบพรบ!DR25"")"),0)</f>
        <v>0</v>
      </c>
      <c r="M291" s="230">
        <f ca="1">IFERROR(__xludf.DUMMYFUNCTION("IMPORTRANGE(""https://docs.google.com/spreadsheets/d/1-uDff_7J0KD5mKrp0Vvzr7lt3OU09vwQwhkpOPPYv2Y/edit?usp=sharing"",""งบพรบ!DU25"")"),0)</f>
        <v>0</v>
      </c>
      <c r="N291" s="230">
        <f ca="1">IFERROR(__xludf.DUMMYFUNCTION("IMPORTRANGE(""https://docs.google.com/spreadsheets/d/1-uDff_7J0KD5mKrp0Vvzr7lt3OU09vwQwhkpOPPYv2Y/edit?usp=sharing"",""งบพรบ!DW25"")"),0)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IFERROR(__xludf.DUMMYFUNCTION("IMPORTRANGE(""https://docs.google.com/spreadsheets/d/1eHaY18a8A9IcSdp1K8H6x8fbOy06t2VsZHhMHf-1x7Y/edit?usp=sharing"",""แผน!EE25"")"),100)</f>
        <v>100</v>
      </c>
      <c r="J293" s="520">
        <v>100</v>
      </c>
      <c r="K293" s="521">
        <f t="shared" ref="K293:K294" ca="1" si="189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IFERROR(__xludf.DUMMYFUNCTION("IMPORTRANGE(""https://docs.google.com/spreadsheets/d/1eHaY18a8A9IcSdp1K8H6x8fbOy06t2VsZHhMHf-1x7Y/edit?usp=sharing"",""แผน!ED25"")"),10)</f>
        <v>10</v>
      </c>
      <c r="J294" s="340">
        <f>J297</f>
        <v>10</v>
      </c>
      <c r="K294" s="518">
        <f t="shared" ca="1" si="189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IFERROR(__xludf.DUMMYFUNCTION("IMPORTRANGE(""https://docs.google.com/spreadsheets/d/1eHaY18a8A9IcSdp1K8H6x8fbOy06t2VsZHhMHf-1x7Y/edit?usp=sharing"",""แผน!ED25"")"),10)</f>
        <v>10</v>
      </c>
      <c r="J296" s="520">
        <v>21</v>
      </c>
      <c r="K296" s="521">
        <f t="shared" ref="K296:K297" ca="1" si="190">IF(I296&gt;0,J296*100/I296,0)</f>
        <v>210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IFERROR(__xludf.DUMMYFUNCTION("IMPORTRANGE(""https://docs.google.com/spreadsheets/d/1eHaY18a8A9IcSdp1K8H6x8fbOy06t2VsZHhMHf-1x7Y/edit?usp=sharing"",""แผน!ED25"")"),10)</f>
        <v>10</v>
      </c>
      <c r="J297" s="520">
        <v>10</v>
      </c>
      <c r="K297" s="521">
        <f t="shared" ca="1" si="190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25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228095.39</v>
      </c>
      <c r="R304" s="515">
        <f t="shared" ca="1" si="195"/>
        <v>228095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228095.39</v>
      </c>
      <c r="R306" s="230">
        <f t="shared" ca="1" si="199"/>
        <v>228095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228095.39</v>
      </c>
      <c r="R307" s="230">
        <f t="shared" ca="1" si="201"/>
        <v>228095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IFERROR(__xludf.DUMMYFUNCTION("IMPORTRANGE(""https://docs.google.com/spreadsheets/d/1-uDff_7J0KD5mKrp0Vvzr7lt3OU09vwQwhkpOPPYv2Y/edit?usp=sharing"",""งบพรบ!DY25"")"),0)</f>
        <v>0</v>
      </c>
      <c r="M309" s="230">
        <f ca="1">IFERROR(__xludf.DUMMYFUNCTION("IMPORTRANGE(""https://docs.google.com/spreadsheets/d/1-uDff_7J0KD5mKrp0Vvzr7lt3OU09vwQwhkpOPPYv2Y/edit?usp=sharing"",""งบพรบ!ED25"")"),0)</f>
        <v>0</v>
      </c>
      <c r="N309" s="230">
        <f ca="1">IFERROR(__xludf.DUMMYFUNCTION("IMPORTRANGE(""https://docs.google.com/spreadsheets/d/1-uDff_7J0KD5mKrp0Vvzr7lt3OU09vwQwhkpOPPYv2Y/edit?usp=sharing"",""งบพรบ!EF25"")"),0)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IFERROR(__xludf.DUMMYFUNCTION("IMPORTRANGE(""https://docs.google.com/spreadsheets/d/1ItG2mGa2ceCfYo0BwxsXqNm01IGEUdYcSSLTEv9YCik/edit?usp=sharing"",""เบิกจ่ายกองทุน!AP25"")"),228095.39)</f>
        <v>228095.39</v>
      </c>
      <c r="R309" s="230">
        <f ca="1">IFERROR(__xludf.DUMMYFUNCTION("IMPORTRANGE(""https://docs.google.com/spreadsheets/d/1ItG2mGa2ceCfYo0BwxsXqNm01IGEUdYcSSLTEv9YCik/edit?usp=sharing"",""เบิกจ่ายกองทุน!AQ25"")"),228095)</f>
        <v>228095</v>
      </c>
      <c r="S309" s="230">
        <f ca="1">IFERROR(__xludf.DUMMYFUNCTION("IMPORTRANGE(""https://docs.google.com/spreadsheets/d/1ItG2mGa2ceCfYo0BwxsXqNm01IGEUdYcSSLTEv9YCik/edit?usp=sharing"",""เบิกจ่ายกองทุน!AR25"")"),0)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IFERROR(__xludf.DUMMYFUNCTION("IMPORTRANGE(""https://docs.google.com/spreadsheets/d/1-uDff_7J0KD5mKrp0Vvzr7lt3OU09vwQwhkpOPPYv2Y/edit?usp=sharing"",""งบพรบ!EB25"")"),0)</f>
        <v>0</v>
      </c>
      <c r="M312" s="230">
        <f ca="1">IFERROR(__xludf.DUMMYFUNCTION("IMPORTRANGE(""https://docs.google.com/spreadsheets/d/1-uDff_7J0KD5mKrp0Vvzr7lt3OU09vwQwhkpOPPYv2Y/edit?usp=sharing"",""งบพรบ!EE25"")"),0)</f>
        <v>0</v>
      </c>
      <c r="N312" s="230">
        <f ca="1">IFERROR(__xludf.DUMMYFUNCTION("IMPORTRANGE(""https://docs.google.com/spreadsheets/d/1-uDff_7J0KD5mKrp0Vvzr7lt3OU09vwQwhkpOPPYv2Y/edit?usp=sharing"",""งบพรบ!EG25"")"),0)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IFERROR(__xludf.DUMMYFUNCTION("IMPORTRANGE(""https://docs.google.com/spreadsheets/d/1eHaY18a8A9IcSdp1K8H6x8fbOy06t2VsZHhMHf-1x7Y/edit?usp=sharing"",""แผน!EF25"")"),25)</f>
        <v>25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IFERROR(__xludf.DUMMYFUNCTION("IMPORTRANGE(""https://docs.google.com/spreadsheets/d/1-uDff_7J0KD5mKrp0Vvzr7lt3OU09vwQwhkpOPPYv2Y/edit?usp=sharing"",""งบพรบ!EI25"")"),0)</f>
        <v>0</v>
      </c>
      <c r="M326" s="230">
        <f ca="1">IFERROR(__xludf.DUMMYFUNCTION("IMPORTRANGE(""https://docs.google.com/spreadsheets/d/1-uDff_7J0KD5mKrp0Vvzr7lt3OU09vwQwhkpOPPYv2Y/edit?usp=sharing"",""งบพรบ!EN25"")"),0)</f>
        <v>0</v>
      </c>
      <c r="N326" s="230">
        <f ca="1">IFERROR(__xludf.DUMMYFUNCTION("IMPORTRANGE(""https://docs.google.com/spreadsheets/d/1-uDff_7J0KD5mKrp0Vvzr7lt3OU09vwQwhkpOPPYv2Y/edit?usp=sharing"",""งบพรบ!EP25"")"),0)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IFERROR(__xludf.DUMMYFUNCTION("IMPORTRANGE(""https://docs.google.com/spreadsheets/d/1-uDff_7J0KD5mKrp0Vvzr7lt3OU09vwQwhkpOPPYv2Y/edit?usp=sharing"",""งบพรบ!EL25"")"),0)</f>
        <v>0</v>
      </c>
      <c r="M329" s="230">
        <f ca="1">IFERROR(__xludf.DUMMYFUNCTION("IMPORTRANGE(""https://docs.google.com/spreadsheets/d/1-uDff_7J0KD5mKrp0Vvzr7lt3OU09vwQwhkpOPPYv2Y/edit?usp=sharing"",""งบพรบ!EO25"")"),0)</f>
        <v>0</v>
      </c>
      <c r="N329" s="230">
        <f ca="1">IFERROR(__xludf.DUMMYFUNCTION("IMPORTRANGE(""https://docs.google.com/spreadsheets/d/1-uDff_7J0KD5mKrp0Vvzr7lt3OU09vwQwhkpOPPYv2Y/edit?usp=sharing"",""งบพรบ!EQ25"")"),0)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IFERROR(__xludf.DUMMYFUNCTION("IMPORTRANGE(""https://docs.google.com/spreadsheets/d/1eHaY18a8A9IcSdp1K8H6x8fbOy06t2VsZHhMHf-1x7Y/edit?usp=sharing"",""แผน!EJ25"")"),0)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260</v>
      </c>
      <c r="J333" s="635">
        <f ca="1">J345+J348+J349+J350+J354</f>
        <v>856</v>
      </c>
      <c r="K333" s="636">
        <f ca="1">IF(I333&gt;0,J333*100/I333,0)</f>
        <v>329.23076923076923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105000</v>
      </c>
      <c r="M334" s="515">
        <f t="shared" ca="1" si="217"/>
        <v>110000</v>
      </c>
      <c r="N334" s="515">
        <f t="shared" ca="1" si="217"/>
        <v>53195</v>
      </c>
      <c r="O334" s="515">
        <f t="shared" ref="O334:O342" ca="1" si="218">IF(L334&gt;0,N334*100/L334,0)</f>
        <v>50.661904761904765</v>
      </c>
      <c r="P334" s="515">
        <f t="shared" ref="P334:P342" ca="1" si="219">IF(M334&gt;0,N334*100/M334,0)</f>
        <v>48.359090909090909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105000</v>
      </c>
      <c r="M336" s="230">
        <f t="shared" ca="1" si="223"/>
        <v>110000</v>
      </c>
      <c r="N336" s="230">
        <f t="shared" ca="1" si="223"/>
        <v>53195</v>
      </c>
      <c r="O336" s="230">
        <f t="shared" ca="1" si="218"/>
        <v>50.661904761904765</v>
      </c>
      <c r="P336" s="230">
        <f t="shared" ca="1" si="219"/>
        <v>48.359090909090909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105000</v>
      </c>
      <c r="M337" s="230">
        <f t="shared" ca="1" si="225"/>
        <v>110000</v>
      </c>
      <c r="N337" s="230">
        <f t="shared" ca="1" si="225"/>
        <v>53195</v>
      </c>
      <c r="O337" s="230">
        <f t="shared" ca="1" si="218"/>
        <v>50.661904761904765</v>
      </c>
      <c r="P337" s="230">
        <f t="shared" ca="1" si="219"/>
        <v>48.359090909090909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IFERROR(__xludf.DUMMYFUNCTION("IMPORTRANGE(""https://docs.google.com/spreadsheets/d/1-uDff_7J0KD5mKrp0Vvzr7lt3OU09vwQwhkpOPPYv2Y/edit?usp=sharing"",""งบพรบ!ES25"")"),105000)</f>
        <v>105000</v>
      </c>
      <c r="M339" s="230">
        <f ca="1">IFERROR(__xludf.DUMMYFUNCTION("IMPORTRANGE(""https://docs.google.com/spreadsheets/d/1-uDff_7J0KD5mKrp0Vvzr7lt3OU09vwQwhkpOPPYv2Y/edit?usp=sharing"",""งบพรบ!EX25"")"),110000)</f>
        <v>110000</v>
      </c>
      <c r="N339" s="230">
        <f ca="1">IFERROR(__xludf.DUMMYFUNCTION("IMPORTRANGE(""https://docs.google.com/spreadsheets/d/1-uDff_7J0KD5mKrp0Vvzr7lt3OU09vwQwhkpOPPYv2Y/edit?usp=sharing"",""งบพรบ!EZ25"")"),53195)</f>
        <v>53195</v>
      </c>
      <c r="O339" s="230">
        <f t="shared" ca="1" si="218"/>
        <v>50.661904761904765</v>
      </c>
      <c r="P339" s="230">
        <f t="shared" ca="1" si="219"/>
        <v>48.359090909090909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IFERROR(__xludf.DUMMYFUNCTION("IMPORTRANGE(""https://docs.google.com/spreadsheets/d/1-uDff_7J0KD5mKrp0Vvzr7lt3OU09vwQwhkpOPPYv2Y/edit?usp=sharing"",""งบพรบ!EV25"")"),0)</f>
        <v>0</v>
      </c>
      <c r="M342" s="230">
        <f ca="1">IFERROR(__xludf.DUMMYFUNCTION("IMPORTRANGE(""https://docs.google.com/spreadsheets/d/1-uDff_7J0KD5mKrp0Vvzr7lt3OU09vwQwhkpOPPYv2Y/edit?usp=sharing"",""งบพรบ!EY25"")"),0)</f>
        <v>0</v>
      </c>
      <c r="N342" s="230">
        <f ca="1">IFERROR(__xludf.DUMMYFUNCTION("IMPORTRANGE(""https://docs.google.com/spreadsheets/d/1-uDff_7J0KD5mKrp0Vvzr7lt3OU09vwQwhkpOPPYv2Y/edit?usp=sharing"",""งบพรบ!FA25"")"),0)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33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IFERROR(__xludf.DUMMYFUNCTION("IMPORTRANGE(""https://docs.google.com/spreadsheets/d/1eHaY18a8A9IcSdp1K8H6x8fbOy06t2VsZHhMHf-1x7Y/edit?usp=sharing"",""แผน!EK25"")"),260)</f>
        <v>260</v>
      </c>
      <c r="J345" s="189">
        <f ca="1">IFERROR(__xludf.DUMMYFUNCTION("IMPORTRANGE(""https://docs.google.com/spreadsheets/d/1awYsYK3VOup2i3Pq_Yjnu8DRu_mYwSBnCR2QPthd0rU/edit?usp=sharing"",""ศูนย์ยกเว้นโฉนด!D25"")"),30)</f>
        <v>30</v>
      </c>
      <c r="K345" s="230">
        <f ca="1">IF(I345&gt;0,J345*100/I345,0)</f>
        <v>11.538461538461538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IFERROR(__xludf.DUMMYFUNCTION("IMPORTRANGE(""https://docs.google.com/spreadsheets/d/1eHaY18a8A9IcSdp1K8H6x8fbOy06t2VsZHhMHf-1x7Y/edit?usp=sharing"",""แผน!EL25"")"),4)</f>
        <v>4</v>
      </c>
      <c r="J347" s="189">
        <f ca="1">IFERROR(__xludf.DUMMYFUNCTION("IMPORTRANGE(""https://docs.google.com/spreadsheets/d/1awYsYK3VOup2i3Pq_Yjnu8DRu_mYwSBnCR2QPthd0rU/edit?usp=sharing"",""ศูนย์รวม!E25"")"),2)</f>
        <v>2</v>
      </c>
      <c r="K347" s="230">
        <f ca="1">IF(I347&gt;0,J347*100/I347,0)</f>
        <v>50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IFERROR(__xludf.DUMMYFUNCTION("IMPORTRANGE(""https://docs.google.com/spreadsheets/d/1awYsYK3VOup2i3Pq_Yjnu8DRu_mYwSBnCR2QPthd0rU/edit?usp=sharing"",""ศูนย์ยกเว้นโฉนด!F25"")"),1)</f>
        <v>1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IFERROR(__xludf.DUMMYFUNCTION("IMPORTRANGE(""https://docs.google.com/spreadsheets/d/1awYsYK3VOup2i3Pq_Yjnu8DRu_mYwSBnCR2QPthd0rU/edit?usp=sharing"",""ศูนย์ยกเว้นโฉนด!G25"")"),2)</f>
        <v>2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IFERROR(__xludf.DUMMYFUNCTION("IMPORTRANGE(""https://docs.google.com/spreadsheets/d/1awYsYK3VOup2i3Pq_Yjnu8DRu_mYwSBnCR2QPthd0rU/edit?usp=sharing"",""ศูนย์ยกเว้นโฉนด!H25"")"),0)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830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IFERROR(__xludf.DUMMYFUNCTION("IMPORTRANGE(""https://docs.google.com/spreadsheets/d/1awYsYK3VOup2i3Pq_Yjnu8DRu_mYwSBnCR2QPthd0rU/edit?usp=sharing"",""โฉนดM3!G25"")"),7)</f>
        <v>7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IFERROR(__xludf.DUMMYFUNCTION("IMPORTRANGE(""https://docs.google.com/spreadsheets/d/1awYsYK3VOup2i3Pq_Yjnu8DRu_mYwSBnCR2QPthd0rU/edit?usp=sharing"",""โฉนดM3!H25"")"),823)</f>
        <v>823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446775</v>
      </c>
      <c r="M357" s="515">
        <f t="shared" ca="1" si="229"/>
        <v>446775</v>
      </c>
      <c r="N357" s="515">
        <f t="shared" ca="1" si="229"/>
        <v>32122</v>
      </c>
      <c r="O357" s="515">
        <f t="shared" ref="O357:O365" ca="1" si="230">IF(L357&gt;0,N357*100/L357,0)</f>
        <v>7.1897487549661463</v>
      </c>
      <c r="P357" s="515">
        <f t="shared" ref="P357:P365" ca="1" si="231">IF(M357&gt;0,N357*100/M357,0)</f>
        <v>7.1897487549661463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446775</v>
      </c>
      <c r="M359" s="230">
        <f t="shared" ca="1" si="235"/>
        <v>446775</v>
      </c>
      <c r="N359" s="230">
        <f t="shared" ca="1" si="235"/>
        <v>32122</v>
      </c>
      <c r="O359" s="230">
        <f t="shared" ca="1" si="230"/>
        <v>7.1897487549661463</v>
      </c>
      <c r="P359" s="230">
        <f t="shared" ca="1" si="231"/>
        <v>7.1897487549661463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446775</v>
      </c>
      <c r="M360" s="230">
        <f t="shared" ca="1" si="237"/>
        <v>446775</v>
      </c>
      <c r="N360" s="230">
        <f t="shared" ca="1" si="237"/>
        <v>32122</v>
      </c>
      <c r="O360" s="230">
        <f t="shared" ca="1" si="230"/>
        <v>7.1897487549661463</v>
      </c>
      <c r="P360" s="230">
        <f t="shared" ca="1" si="231"/>
        <v>7.1897487549661463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IFERROR(__xludf.DUMMYFUNCTION("IMPORTRANGE(""https://docs.google.com/spreadsheets/d/1-uDff_7J0KD5mKrp0Vvzr7lt3OU09vwQwhkpOPPYv2Y/edit?usp=sharing"",""งบพรบ!FC25"")"),446775)</f>
        <v>446775</v>
      </c>
      <c r="M362" s="230">
        <f ca="1">IFERROR(__xludf.DUMMYFUNCTION("IMPORTRANGE(""https://docs.google.com/spreadsheets/d/1-uDff_7J0KD5mKrp0Vvzr7lt3OU09vwQwhkpOPPYv2Y/edit?usp=sharing"",""งบพรบ!FH25"")"),446775)</f>
        <v>446775</v>
      </c>
      <c r="N362" s="230">
        <f ca="1">IFERROR(__xludf.DUMMYFUNCTION("IMPORTRANGE(""https://docs.google.com/spreadsheets/d/1-uDff_7J0KD5mKrp0Vvzr7lt3OU09vwQwhkpOPPYv2Y/edit?usp=sharing"",""งบพรบ!FJ25"")"),32122)</f>
        <v>32122</v>
      </c>
      <c r="O362" s="230">
        <f t="shared" ca="1" si="230"/>
        <v>7.1897487549661463</v>
      </c>
      <c r="P362" s="230">
        <f t="shared" ca="1" si="231"/>
        <v>7.1897487549661463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IFERROR(__xludf.DUMMYFUNCTION("IMPORTRANGE(""https://docs.google.com/spreadsheets/d/1-uDff_7J0KD5mKrp0Vvzr7lt3OU09vwQwhkpOPPYv2Y/edit?usp=sharing"",""งบพรบ!FF25"")"),0)</f>
        <v>0</v>
      </c>
      <c r="M365" s="230">
        <f ca="1">IFERROR(__xludf.DUMMYFUNCTION("IMPORTRANGE(""https://docs.google.com/spreadsheets/d/1-uDff_7J0KD5mKrp0Vvzr7lt3OU09vwQwhkpOPPYv2Y/edit?usp=sharing"",""งบพรบ!FI25"")"),0)</f>
        <v>0</v>
      </c>
      <c r="N365" s="230">
        <f ca="1">IFERROR(__xludf.DUMMYFUNCTION("IMPORTRANGE(""https://docs.google.com/spreadsheets/d/1-uDff_7J0KD5mKrp0Vvzr7lt3OU09vwQwhkpOPPYv2Y/edit?usp=sharing"",""งบพรบ!FK25"")"),0)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40</v>
      </c>
      <c r="J366" s="313">
        <f t="shared" ca="1" si="241"/>
        <v>3</v>
      </c>
      <c r="K366" s="314">
        <f ca="1">IF(I366&gt;0,J366*100/I366,0)</f>
        <v>7.5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IFERROR(__xludf.DUMMYFUNCTION("IMPORTRANGE(""https://docs.google.com/spreadsheets/d/1tdoBKaGub7dwA3U6UFTqxio9LNnvDCQjHKmttSEBsFQ/edit?usp=sharing"",""จัดที่ดิน!AB25"")"),0)</f>
        <v>0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IFERROR(__xludf.DUMMYFUNCTION("IMPORTRANGE(""https://docs.google.com/spreadsheets/d/1eHaY18a8A9IcSdp1K8H6x8fbOy06t2VsZHhMHf-1x7Y/edit?usp=sharing"",""แผน!EW25"")"),235)</f>
        <v>235</v>
      </c>
      <c r="J369" s="646">
        <f ca="1">IFERROR(__xludf.DUMMYFUNCTION("IMPORTRANGE(""https://docs.google.com/spreadsheets/d/1tdoBKaGub7dwA3U6UFTqxio9LNnvDCQjHKmttSEBsFQ/edit?usp=sharing"",""จัดที่ดิน!AC25"")"),0)</f>
        <v>0</v>
      </c>
      <c r="K369" s="230">
        <f t="shared" ca="1" si="242"/>
        <v>0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IFERROR(__xludf.DUMMYFUNCTION("IMPORTRANGE(""https://docs.google.com/spreadsheets/d/1eHaY18a8A9IcSdp1K8H6x8fbOy06t2VsZHhMHf-1x7Y/edit?usp=sharing"",""แผน!EX25"")"),59)</f>
        <v>59</v>
      </c>
      <c r="J370" s="189">
        <f ca="1">IFERROR(__xludf.DUMMYFUNCTION("IMPORTRANGE(""https://docs.google.com/spreadsheets/d/1tdoBKaGub7dwA3U6UFTqxio9LNnvDCQjHKmttSEBsFQ/edit?usp=sharing"",""จัดที่ดิน!AD25"")"),3)</f>
        <v>3</v>
      </c>
      <c r="K370" s="230">
        <f t="shared" ca="1" si="242"/>
        <v>5.0847457627118642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IFERROR(__xludf.DUMMYFUNCTION("IMPORTRANGE(""https://docs.google.com/spreadsheets/d/1tdoBKaGub7dwA3U6UFTqxio9LNnvDCQjHKmttSEBsFQ/edit?usp=sharing"",""จัดที่ดิน!AE25"")"),26.56)</f>
        <v>26.56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IFERROR(__xludf.DUMMYFUNCTION("IMPORTRANGE(""https://docs.google.com/spreadsheets/d/1eHaY18a8A9IcSdp1K8H6x8fbOy06t2VsZHhMHf-1x7Y/edit?usp=sharing"",""แผน!EY25"")"),40)</f>
        <v>40</v>
      </c>
      <c r="J372" s="189">
        <f ca="1">IFERROR(__xludf.DUMMYFUNCTION("IMPORTRANGE(""https://docs.google.com/spreadsheets/d/1tdoBKaGub7dwA3U6UFTqxio9LNnvDCQjHKmttSEBsFQ/edit?usp=sharing"",""จัดที่ดิน!AF25"")"),3)</f>
        <v>3</v>
      </c>
      <c r="K372" s="230">
        <f t="shared" ca="1" si="242"/>
        <v>7.5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IFERROR(__xludf.DUMMYFUNCTION("IMPORTRANGE(""https://docs.google.com/spreadsheets/d/1tdoBKaGub7dwA3U6UFTqxio9LNnvDCQjHKmttSEBsFQ/edit?usp=sharing"",""จัดที่ดิน!AG25"")"),26.56)</f>
        <v>26.56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hidden="1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I386</f>
        <v>0</v>
      </c>
      <c r="J375" s="654">
        <f t="shared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hidden="1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hidden="1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IFERROR(__xludf.DUMMYFUNCTION("IMPORTRANGE(""https://docs.google.com/spreadsheets/d/1ItG2mGa2ceCfYo0BwxsXqNm01IGEUdYcSSLTEv9YCik/edit?usp=sharing"",""เบิกจ่ายกองทุน!AY25"")"),0)</f>
        <v>0</v>
      </c>
      <c r="R381" s="230">
        <f ca="1">IFERROR(__xludf.DUMMYFUNCTION("IMPORTRANGE(""https://docs.google.com/spreadsheets/d/1ItG2mGa2ceCfYo0BwxsXqNm01IGEUdYcSSLTEv9YCik/edit?usp=sharing"",""เบิกจ่ายกองทุน!AZ25"")"),0)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IFERROR(__xludf.DUMMYFUNCTION("IMPORTRANGE(""https://docs.google.com/spreadsheets/d/1ItG2mGa2ceCfYo0BwxsXqNm01IGEUdYcSSLTEv9YCik/edit?usp=sharing"",""เบิกจ่ายกองทุน!BA25"")"),0)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hidden="1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hidden="1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hidden="1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f ca="1">IFERROR(__xludf.DUMMYFUNCTION("IMPORTRANGE(""https://docs.google.com/spreadsheets/d/1eHaY18a8A9IcSdp1K8H6x8fbOy06t2VsZHhMHf-1x7Y/edit?usp=sharing"",""แผน!JQ25"")"),0)</f>
        <v>0</v>
      </c>
      <c r="J386" s="189">
        <v>0</v>
      </c>
      <c r="K386" s="230">
        <f t="shared" ref="K386:K389" ca="1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hidden="1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IFERROR(__xludf.DUMMYFUNCTION("IMPORTRANGE(""https://docs.google.com/spreadsheets/d/1eHaY18a8A9IcSdp1K8H6x8fbOy06t2VsZHhMHf-1x7Y/edit?usp=sharing"",""แผน!JQ25"")"),0)</f>
        <v>0</v>
      </c>
      <c r="J387" s="189"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hidden="1" x14ac:dyDescent="0.25">
      <c r="A388" s="156"/>
      <c r="B388" s="156"/>
      <c r="C388" s="156"/>
      <c r="D388" s="156"/>
      <c r="E388" s="442" t="s">
        <v>155</v>
      </c>
      <c r="F388" s="156"/>
      <c r="G388" s="181"/>
      <c r="H388" s="155" t="s">
        <v>34</v>
      </c>
      <c r="I388" s="444">
        <v>0</v>
      </c>
      <c r="J388" s="444">
        <v>0</v>
      </c>
      <c r="K388" s="80">
        <f t="shared" si="256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hidden="1" x14ac:dyDescent="0.25">
      <c r="A389" s="156"/>
      <c r="B389" s="156"/>
      <c r="C389" s="156"/>
      <c r="D389" s="156"/>
      <c r="E389" s="156"/>
      <c r="F389" s="156"/>
      <c r="G389" s="181"/>
      <c r="H389" s="155" t="s">
        <v>46</v>
      </c>
      <c r="I389" s="444">
        <v>0</v>
      </c>
      <c r="J389" s="444">
        <v>0</v>
      </c>
      <c r="K389" s="80">
        <f t="shared" si="256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IFERROR(__xludf.DUMMYFUNCTION("IMPORTRANGE(""https://docs.google.com/spreadsheets/d/1ItG2mGa2ceCfYo0BwxsXqNm01IGEUdYcSSLTEv9YCik/edit?usp=sharing"",""เบิกจ่ายกองทุน!BH25"")"),0)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IFERROR(__xludf.DUMMYFUNCTION("IMPORTRANGE(""https://docs.google.com/spreadsheets/d/1ItG2mGa2ceCfYo0BwxsXqNm01IGEUdYcSSLTEv9YCik/edit?usp=sharing"",""เบิกจ่ายกองทุน!BI25"")"),0)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IFERROR(__xludf.DUMMYFUNCTION("IMPORTRANGE(""https://docs.google.com/spreadsheets/d/1ItG2mGa2ceCfYo0BwxsXqNm01IGEUdYcSSLTEv9YCik/edit?usp=sharing"",""เบิกจ่ายกองทุน!BJ25"")"),0)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IFERROR(__xludf.DUMMYFUNCTION("IMPORTRANGE(""https://docs.google.com/spreadsheets/d/1eHaY18a8A9IcSdp1K8H6x8fbOy06t2VsZHhMHf-1x7Y/edit?usp=sharing"",""แผน!HJ25"")"),0)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IFERROR(__xludf.DUMMYFUNCTION("IMPORTRANGE(""https://docs.google.com/spreadsheets/d/1eHaY18a8A9IcSdp1K8H6x8fbOy06t2VsZHhMHf-1x7Y/edit?usp=sharing"",""แผน!HK25"")"),0)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IFERROR(__xludf.DUMMYFUNCTION("IMPORTRANGE(""https://docs.google.com/spreadsheets/d/1eHaY18a8A9IcSdp1K8H6x8fbOy06t2VsZHhMHf-1x7Y/edit?usp=sharing"",""แผน!HJ25"")"),0)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IFERROR(__xludf.DUMMYFUNCTION("IMPORTRANGE(""https://docs.google.com/spreadsheets/d/1eHaY18a8A9IcSdp1K8H6x8fbOy06t2VsZHhMHf-1x7Y/edit?usp=sharing"",""แผน!HK25"")"),0)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IFERROR(__xludf.DUMMYFUNCTION("IMPORTRANGE(""https://docs.google.com/spreadsheets/d/1eHaY18a8A9IcSdp1K8H6x8fbOy06t2VsZHhMHf-1x7Y/edit?usp=sharing"",""แผน!HJ25"")"),0)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IFERROR(__xludf.DUMMYFUNCTION("IMPORTRANGE(""https://docs.google.com/spreadsheets/d/1eHaY18a8A9IcSdp1K8H6x8fbOy06t2VsZHhMHf-1x7Y/edit?usp=sharing"",""แผน!HK25"")"),0)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IFERROR(__xludf.DUMMYFUNCTION("IMPORTRANGE(""https://docs.google.com/spreadsheets/d/1eHaY18a8A9IcSdp1K8H6x8fbOy06t2VsZHhMHf-1x7Y/edit?usp=sharing"",""แผน!HL25"")"),0)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IFERROR(__xludf.DUMMYFUNCTION("IMPORTRANGE(""https://docs.google.com/spreadsheets/d/1eHaY18a8A9IcSdp1K8H6x8fbOy06t2VsZHhMHf-1x7Y/edit?usp=sharing"",""แผน!HM25"")"),0)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IFERROR(__xludf.DUMMYFUNCTION("IMPORTRANGE(""https://docs.google.com/spreadsheets/d/1eHaY18a8A9IcSdp1K8H6x8fbOy06t2VsZHhMHf-1x7Y/edit?usp=sharing"",""แผน!HN25"")"),0)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IFERROR(__xludf.DUMMYFUNCTION("IMPORTRANGE(""https://docs.google.com/spreadsheets/d/1eHaY18a8A9IcSdp1K8H6x8fbOy06t2VsZHhMHf-1x7Y/edit?usp=sharing"",""แผน!HO25"")"),0)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IFERROR(__xludf.DUMMYFUNCTION("IMPORTRANGE(""https://docs.google.com/spreadsheets/d/1ItG2mGa2ceCfYo0BwxsXqNm01IGEUdYcSSLTEv9YCik/edit?usp=sharing"",""เบิกจ่ายกองทุน!X25"")"),0)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IFERROR(__xludf.DUMMYFUNCTION("IMPORTRANGE(""https://docs.google.com/spreadsheets/d/1ItG2mGa2ceCfYo0BwxsXqNm01IGEUdYcSSLTEv9YCik/edit?usp=sharing"",""เบิกจ่ายกองทุน!Y25"")"),0)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IFERROR(__xludf.DUMMYFUNCTION("IMPORTRANGE(""https://docs.google.com/spreadsheets/d/1ItG2mGa2ceCfYo0BwxsXqNm01IGEUdYcSSLTEv9YCik/edit?usp=sharing"",""เบิกจ่ายกองทุน!Z25"")"),0)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IFERROR(__xludf.DUMMYFUNCTION("IMPORTRANGE(""https://docs.google.com/spreadsheets/d/1eHaY18a8A9IcSdp1K8H6x8fbOy06t2VsZHhMHf-1x7Y/edit?usp=sharing"",""แผน!GX25"")"),0)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IFERROR(__xludf.DUMMYFUNCTION("IMPORTRANGE(""https://docs.google.com/spreadsheets/d/1eHaY18a8A9IcSdp1K8H6x8fbOy06t2VsZHhMHf-1x7Y/edit?usp=sharing"",""แผน!GY25"")"),0)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IFERROR(__xludf.DUMMYFUNCTION("IMPORTRANGE(""https://docs.google.com/spreadsheets/d/1eHaY18a8A9IcSdp1K8H6x8fbOy06t2VsZHhMHf-1x7Y/edit?usp=sharing"",""แผน!GZ25"")"),0)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IFERROR(__xludf.DUMMYFUNCTION("IMPORTRANGE(""https://docs.google.com/spreadsheets/d/1eHaY18a8A9IcSdp1K8H6x8fbOy06t2VsZHhMHf-1x7Y/edit?usp=sharing"",""แผน!HA25"")"),0)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IFERROR(__xludf.DUMMYFUNCTION("IMPORTRANGE(""https://docs.google.com/spreadsheets/d/1eHaY18a8A9IcSdp1K8H6x8fbOy06t2VsZHhMHf-1x7Y/edit?usp=sharing"",""แผน!HB25"")"),0)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IFERROR(__xludf.DUMMYFUNCTION("IMPORTRANGE(""https://docs.google.com/spreadsheets/d/1eHaY18a8A9IcSdp1K8H6x8fbOy06t2VsZHhMHf-1x7Y/edit?usp=sharing"",""แผน!HC25"")"),0)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IFERROR(__xludf.DUMMYFUNCTION("IMPORTRANGE(""https://docs.google.com/spreadsheets/d/1-uDff_7J0KD5mKrp0Vvzr7lt3OU09vwQwhkpOPPYv2Y/edit?usp=sharing"",""งบพรบ!FM25"")"),0)</f>
        <v>0</v>
      </c>
      <c r="M519" s="230">
        <f ca="1">IFERROR(__xludf.DUMMYFUNCTION("IMPORTRANGE(""https://docs.google.com/spreadsheets/d/1-uDff_7J0KD5mKrp0Vvzr7lt3OU09vwQwhkpOPPYv2Y/edit?usp=sharing"",""งบพรบ!FR25"")"),0)</f>
        <v>0</v>
      </c>
      <c r="N519" s="230">
        <f ca="1">IFERROR(__xludf.DUMMYFUNCTION("IMPORTRANGE(""https://docs.google.com/spreadsheets/d/1-uDff_7J0KD5mKrp0Vvzr7lt3OU09vwQwhkpOPPYv2Y/edit?usp=sharing"",""งบพรบ!FT25"")"),0)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IFERROR(__xludf.DUMMYFUNCTION("IMPORTRANGE(""https://docs.google.com/spreadsheets/d/1-uDff_7J0KD5mKrp0Vvzr7lt3OU09vwQwhkpOPPYv2Y/edit?usp=sharing"",""งบพรบ!FP25"")"),0)</f>
        <v>0</v>
      </c>
      <c r="M522" s="230">
        <f ca="1">IFERROR(__xludf.DUMMYFUNCTION("IMPORTRANGE(""https://docs.google.com/spreadsheets/d/1-uDff_7J0KD5mKrp0Vvzr7lt3OU09vwQwhkpOPPYv2Y/edit?usp=sharing"",""งบพรบ!FS25"")"),0)</f>
        <v>0</v>
      </c>
      <c r="N522" s="230">
        <f ca="1">IFERROR(__xludf.DUMMYFUNCTION("IMPORTRANGE(""https://docs.google.com/spreadsheets/d/1-uDff_7J0KD5mKrp0Vvzr7lt3OU09vwQwhkpOPPYv2Y/edit?usp=sharing"",""งบพรบ!FU25"")"),0)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50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7275</v>
      </c>
      <c r="R617" s="515">
        <f t="shared" ca="1" si="384"/>
        <v>7275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7275</v>
      </c>
      <c r="R619" s="230">
        <f t="shared" ca="1" si="388"/>
        <v>7275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7275</v>
      </c>
      <c r="R620" s="230">
        <f t="shared" ca="1" si="390"/>
        <v>7275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IFERROR(__xludf.DUMMYFUNCTION("IMPORTRANGE(""https://docs.google.com/spreadsheets/d/1ItG2mGa2ceCfYo0BwxsXqNm01IGEUdYcSSLTEv9YCik/edit?usp=sharing"",""เบิกจ่ายกองทุน!F25"")"),7275)</f>
        <v>7275</v>
      </c>
      <c r="R622" s="230">
        <f ca="1">IFERROR(__xludf.DUMMYFUNCTION("IMPORTRANGE(""https://docs.google.com/spreadsheets/d/1ItG2mGa2ceCfYo0BwxsXqNm01IGEUdYcSSLTEv9YCik/edit?usp=sharing"",""เบิกจ่ายกองทุน!G25"")"),7275)</f>
        <v>7275</v>
      </c>
      <c r="S622" s="230">
        <f ca="1">IFERROR(__xludf.DUMMYFUNCTION("IMPORTRANGE(""https://docs.google.com/spreadsheets/d/1ItG2mGa2ceCfYo0BwxsXqNm01IGEUdYcSSLTEv9YCik/edit?usp=sharing"",""เบิกจ่ายกองทุน!H25"")"),0)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IFERROR(__xludf.DUMMYFUNCTION("IMPORTRANGE(""https://docs.google.com/spreadsheets/d/1eHaY18a8A9IcSdp1K8H6x8fbOy06t2VsZHhMHf-1x7Y/edit?usp=sharing"",""แผน!ID25"")"),50)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IFERROR(__xludf.DUMMYFUNCTION("IMPORTRANGE(""https://docs.google.com/spreadsheets/d/1eHaY18a8A9IcSdp1K8H6x8fbOy06t2VsZHhMHf-1x7Y/edit?usp=sharing"",""แผน!IC25"")"),1)</f>
        <v>1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IFERROR(__xludf.DUMMYFUNCTION("IMPORTRANGE(""https://docs.google.com/spreadsheets/d/1eHaY18a8A9IcSdp1K8H6x8fbOy06t2VsZHhMHf-1x7Y/edit?usp=sharing"",""แผน!IC25"")"),1)</f>
        <v>1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IFERROR(__xludf.DUMMYFUNCTION("IMPORTRANGE(""https://docs.google.com/spreadsheets/d/1eHaY18a8A9IcSdp1K8H6x8fbOy06t2VsZHhMHf-1x7Y/edit?usp=sharing"",""แผน!IE25"")"),0)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0</v>
      </c>
      <c r="R643" s="515">
        <f t="shared" ca="1" si="398"/>
        <v>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0</v>
      </c>
      <c r="R645" s="230">
        <f t="shared" ca="1" si="402"/>
        <v>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0</v>
      </c>
      <c r="R646" s="230">
        <f t="shared" ca="1" si="404"/>
        <v>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IFERROR(__xludf.DUMMYFUNCTION("IMPORTRANGE(""https://docs.google.com/spreadsheets/d/1ItG2mGa2ceCfYo0BwxsXqNm01IGEUdYcSSLTEv9YCik/edit?usp=sharing"",""เบิกจ่ายกองทุน!I25"")"),0)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IFERROR(__xludf.DUMMYFUNCTION("IMPORTRANGE(""https://docs.google.com/spreadsheets/d/1ItG2mGa2ceCfYo0BwxsXqNm01IGEUdYcSSLTEv9YCik/edit?usp=sharing"",""เบิกจ่ายกองทุน!J25"")"),0)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IFERROR(__xludf.DUMMYFUNCTION("IMPORTRANGE(""https://docs.google.com/spreadsheets/d/1ItG2mGa2ceCfYo0BwxsXqNm01IGEUdYcSSLTEv9YCik/edit?usp=sharing"",""เบิกจ่ายกองทุน!K25"")"),0)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IFERROR(__xludf.DUMMYFUNCTION("IMPORTRANGE(""https://docs.google.com/spreadsheets/d/1eHaY18a8A9IcSdp1K8H6x8fbOy06t2VsZHhMHf-1x7Y/edit?usp=sharing"",""แผน!IF25"")"),0)</f>
        <v>0</v>
      </c>
      <c r="J653" s="189">
        <f ca="1">IFERROR(__xludf.DUMMYFUNCTION("IMPORTRANGE(""https://docs.google.com/spreadsheets/d/1tdoBKaGub7dwA3U6UFTqxio9LNnvDCQjHKmttSEBsFQ/edit?usp=sharing"",""จัดที่ดิน!AU25"")"),0)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IFERROR(__xludf.DUMMYFUNCTION("IMPORTRANGE(""https://docs.google.com/spreadsheets/d/1eHaY18a8A9IcSdp1K8H6x8fbOy06t2VsZHhMHf-1x7Y/edit?usp=sharing"",""แผน!IG25"")"),0)</f>
        <v>0</v>
      </c>
      <c r="J654" s="189">
        <f ca="1">IFERROR(__xludf.DUMMYFUNCTION("IMPORTRANGE(""https://docs.google.com/spreadsheets/d/1tdoBKaGub7dwA3U6UFTqxio9LNnvDCQjHKmttSEBsFQ/edit?usp=sharing"",""จัดที่ดิน!AW25"")"),0)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IFERROR(__xludf.DUMMYFUNCTION("IMPORTRANGE(""https://docs.google.com/spreadsheets/d/1eHaY18a8A9IcSdp1K8H6x8fbOy06t2VsZHhMHf-1x7Y/edit?usp=sharing"",""แผน!IH25"")"),0)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IFERROR(__xludf.DUMMYFUNCTION("IMPORTRANGE(""https://docs.google.com/spreadsheets/d/1eHaY18a8A9IcSdp1K8H6x8fbOy06t2VsZHhMHf-1x7Y/edit?usp=sharing"",""แผน!II25"")"),0)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IFERROR(__xludf.DUMMYFUNCTION("IMPORTRANGE(""https://docs.google.com/spreadsheets/d/1eHaY18a8A9IcSdp1K8H6x8fbOy06t2VsZHhMHf-1x7Y/edit?usp=sharing"",""แผน!IJ25"")"),0)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IFERROR(__xludf.DUMMYFUNCTION("IMPORTRANGE(""https://docs.google.com/spreadsheets/d/1eHaY18a8A9IcSdp1K8H6x8fbOy06t2VsZHhMHf-1x7Y/edit?usp=sharing"",""แผน!IK25"")"),0)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IFERROR(__xludf.DUMMYFUNCTION("IMPORTRANGE(""https://docs.google.com/spreadsheets/d/1tdoBKaGub7dwA3U6UFTqxio9LNnvDCQjHKmttSEBsFQ/edit?usp=sharing"",""จัดที่ดิน!AY25"")"),0)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IFERROR(__xludf.DUMMYFUNCTION("IMPORTRANGE(""https://docs.google.com/spreadsheets/d/1tdoBKaGub7dwA3U6UFTqxio9LNnvDCQjHKmttSEBsFQ/edit?usp=sharing"",""จัดที่ดิน!AZ25"")"),0)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IFERROR(__xludf.DUMMYFUNCTION("IMPORTRANGE(""https://docs.google.com/spreadsheets/d/1eHaY18a8A9IcSdp1K8H6x8fbOy06t2VsZHhMHf-1x7Y/edit?usp=sharing"",""แผน!IL25"")"),0)</f>
        <v>0</v>
      </c>
      <c r="J674" s="189">
        <f ca="1">IFERROR(__xludf.DUMMYFUNCTION("IMPORTRANGE(""https://docs.google.com/spreadsheets/d/1tdoBKaGub7dwA3U6UFTqxio9LNnvDCQjHKmttSEBsFQ/edit?usp=sharing"",""จัดที่ดิน!BA25"")"),0)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IFERROR(__xludf.DUMMYFUNCTION("IMPORTRANGE(""https://docs.google.com/spreadsheets/d/1eHaY18a8A9IcSdp1K8H6x8fbOy06t2VsZHhMHf-1x7Y/edit?usp=sharing"",""แผน!IM25"")"),0)</f>
        <v>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IFERROR(__xludf.DUMMYFUNCTION("IMPORTRANGE(""https://docs.google.com/spreadsheets/d/1eHaY18a8A9IcSdp1K8H6x8fbOy06t2VsZHhMHf-1x7Y/edit?usp=sharing"",""แผน!IN25"")"),0)</f>
        <v>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IFERROR(__xludf.DUMMYFUNCTION("IMPORTRANGE(""https://docs.google.com/spreadsheets/d/1eHaY18a8A9IcSdp1K8H6x8fbOy06t2VsZHhMHf-1x7Y/edit?usp=sharing"",""แผน!IO25"")"),0)</f>
        <v>0</v>
      </c>
      <c r="J677" s="189">
        <f ca="1">IFERROR(__xludf.DUMMYFUNCTION("IMPORTRANGE(""https://docs.google.com/spreadsheets/d/1tdoBKaGub7dwA3U6UFTqxio9LNnvDCQjHKmttSEBsFQ/edit?usp=sharing"",""จัดที่ดิน!BF25"")"),0)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IFERROR(__xludf.DUMMYFUNCTION("IMPORTRANGE(""https://docs.google.com/spreadsheets/d/1tdoBKaGub7dwA3U6UFTqxio9LNnvDCQjHKmttSEBsFQ/edit?usp=sharing"",""จัดที่ดิน!BG25"")"),0)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IFERROR(__xludf.DUMMYFUNCTION("IMPORTRANGE(""https://docs.google.com/spreadsheets/d/1eHaY18a8A9IcSdp1K8H6x8fbOy06t2VsZHhMHf-1x7Y/edit?usp=sharing"",""แผน!IP25"")"),0)</f>
        <v>0</v>
      </c>
      <c r="J679" s="189">
        <f ca="1">IFERROR(__xludf.DUMMYFUNCTION("IMPORTRANGE(""https://docs.google.com/spreadsheets/d/1tdoBKaGub7dwA3U6UFTqxio9LNnvDCQjHKmttSEBsFQ/edit?usp=sharing"",""จัดที่ดิน!BH25"")"),0)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IFERROR(__xludf.DUMMYFUNCTION("IMPORTRANGE(""https://docs.google.com/spreadsheets/d/1eHaY18a8A9IcSdp1K8H6x8fbOy06t2VsZHhMHf-1x7Y/edit?usp=sharing"",""แผน!IQ25"")"),0)</f>
        <v>0</v>
      </c>
      <c r="J680" s="189">
        <f ca="1">IFERROR(__xludf.DUMMYFUNCTION("IMPORTRANGE(""https://docs.google.com/spreadsheets/d/1tdoBKaGub7dwA3U6UFTqxio9LNnvDCQjHKmttSEBsFQ/edit?usp=sharing"",""จัดที่ดิน!BK25"")"),0)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IFERROR(__xludf.DUMMYFUNCTION("IMPORTRANGE(""https://docs.google.com/spreadsheets/d/1tdoBKaGub7dwA3U6UFTqxio9LNnvDCQjHKmttSEBsFQ/edit?usp=sharing"",""จัดที่ดิน!BL25"")"),0)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IFERROR(__xludf.DUMMYFUNCTION("IMPORTRANGE(""https://docs.google.com/spreadsheets/d/1eHaY18a8A9IcSdp1K8H6x8fbOy06t2VsZHhMHf-1x7Y/edit?usp=sharing"",""แผน!IR25"")"),0)</f>
        <v>0</v>
      </c>
      <c r="J682" s="189">
        <f ca="1">IFERROR(__xludf.DUMMYFUNCTION("IMPORTRANGE(""https://docs.google.com/spreadsheets/d/1tdoBKaGub7dwA3U6UFTqxio9LNnvDCQjHKmttSEBsFQ/edit?usp=sharing"",""จัดที่ดิน!BM25"")"),0)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IFERROR(__xludf.DUMMYFUNCTION("IMPORTRANGE(""https://docs.google.com/spreadsheets/d/1eHaY18a8A9IcSdp1K8H6x8fbOy06t2VsZHhMHf-1x7Y/edit?usp=sharing"",""แผน!IS25"")"),0)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1">I708</f>
        <v>0</v>
      </c>
      <c r="J690" s="756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97970</v>
      </c>
      <c r="R691" s="515">
        <f t="shared" ca="1" si="415"/>
        <v>97970</v>
      </c>
      <c r="S691" s="515">
        <f t="shared" ca="1" si="415"/>
        <v>0</v>
      </c>
      <c r="T691" s="515">
        <f t="shared" ref="T691:T699" ca="1" si="416">IF(Q691&gt;0,S691*100/Q691,0)</f>
        <v>0</v>
      </c>
      <c r="U691" s="515">
        <f t="shared" ref="U691:U699" ca="1" si="417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97970</v>
      </c>
      <c r="R693" s="230">
        <f t="shared" ca="1" si="419"/>
        <v>97970</v>
      </c>
      <c r="S693" s="230">
        <f t="shared" ca="1" si="419"/>
        <v>0</v>
      </c>
      <c r="T693" s="230">
        <f t="shared" ca="1" si="416"/>
        <v>0</v>
      </c>
      <c r="U693" s="230">
        <f t="shared" ca="1" si="417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97970</v>
      </c>
      <c r="R694" s="230">
        <f t="shared" ca="1" si="421"/>
        <v>97970</v>
      </c>
      <c r="S694" s="230">
        <f t="shared" ca="1" si="421"/>
        <v>0</v>
      </c>
      <c r="T694" s="230">
        <f t="shared" ca="1" si="416"/>
        <v>0</v>
      </c>
      <c r="U694" s="230">
        <f t="shared" ca="1" si="417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6" s="230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6" s="230">
        <f ca="1">IFERROR(__xludf.DUMMYFUNCTION("IMPORTRANGE(""https://docs.google.com/spreadsheets/d/1ItG2mGa2ceCfYo0BwxsXqNm01IGEUdYcSSLTEv9YCik/edit?usp=sharing"",""เบิกจ่ายกองทุน!N25"")"),0)</f>
        <v>0</v>
      </c>
      <c r="T696" s="230">
        <f t="shared" ca="1" si="416"/>
        <v>0</v>
      </c>
      <c r="U696" s="230">
        <f t="shared" ca="1" si="417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IFERROR(__xludf.DUMMYFUNCTION("IMPORTRANGE(""https://docs.google.com/spreadsheets/d/1eHaY18a8A9IcSdp1K8H6x8fbOy06t2VsZHhMHf-1x7Y/edit?usp=sharing"",""แผน!LC25"")"),1)</f>
        <v>1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2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IFERROR(__xludf.DUMMYFUNCTION("IMPORTRANGE(""https://docs.google.com/spreadsheets/d/1eHaY18a8A9IcSdp1K8H6x8fbOy06t2VsZHhMHf-1x7Y/edit?usp=sharing"",""แผน!LJ25"")"),0)</f>
        <v>0</v>
      </c>
      <c r="J704" s="189">
        <f ca="1">IFERROR(__xludf.DUMMYFUNCTION("IMPORTRANGE(""https://docs.google.com/spreadsheets/d/1tdoBKaGub7dwA3U6UFTqxio9LNnvDCQjHKmttSEBsFQ/edit?usp=sharing"",""จัดที่ดิน!AP25"")"),0)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IFERROR(__xludf.DUMMYFUNCTION("IMPORTRANGE(""https://docs.google.com/spreadsheets/d/1tdoBKaGub7dwA3U6UFTqxio9LNnvDCQjHKmttSEBsFQ/edit?usp=sharing"",""จัดที่ดิน!AQ25"")"),0)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IFERROR(__xludf.DUMMYFUNCTION("IMPORTRANGE(""https://docs.google.com/spreadsheets/d/1eHaY18a8A9IcSdp1K8H6x8fbOy06t2VsZHhMHf-1x7Y/edit?usp=sharing"",""แผน!LK25"")"),2)</f>
        <v>2</v>
      </c>
      <c r="J706" s="189">
        <f ca="1">IFERROR(__xludf.DUMMYFUNCTION("IMPORTRANGE(""https://docs.google.com/spreadsheets/d/1tdoBKaGub7dwA3U6UFTqxio9LNnvDCQjHKmttSEBsFQ/edit?usp=sharing"",""จัดที่ดิน!AR25"")"),0)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IFERROR(__xludf.DUMMYFUNCTION("IMPORTRANGE(""https://docs.google.com/spreadsheets/d/1tdoBKaGub7dwA3U6UFTqxio9LNnvDCQjHKmttSEBsFQ/edit?usp=sharing"",""จัดที่ดิน!AS25"")"),0)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IFERROR(__xludf.DUMMYFUNCTION("IMPORTRANGE(""https://docs.google.com/spreadsheets/d/1eHaY18a8A9IcSdp1K8H6x8fbOy06t2VsZHhMHf-1x7Y/edit?usp=sharing"",""แผน!LJ25"")"),0)</f>
        <v>0</v>
      </c>
      <c r="J708" s="189">
        <f ca="1">IFERROR(__xludf.DUMMYFUNCTION("IMPORTRANGE(""https://docs.google.com/spreadsheets/d/1tdoBKaGub7dwA3U6UFTqxio9LNnvDCQjHKmttSEBsFQ/edit?usp=sharing"",""จัดที่ดิน!BN25"")"),0)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IFERROR(__xludf.DUMMYFUNCTION("IMPORTRANGE(""https://docs.google.com/spreadsheets/d/1tdoBKaGub7dwA3U6UFTqxio9LNnvDCQjHKmttSEBsFQ/edit?usp=sharing"",""จัดที่ดิน!BO25"")"),0)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IFERROR(__xludf.DUMMYFUNCTION("IMPORTRANGE(""https://docs.google.com/spreadsheets/d/1eHaY18a8A9IcSdp1K8H6x8fbOy06t2VsZHhMHf-1x7Y/edit?usp=sharing"",""แผน!LK25"")"),2)</f>
        <v>2</v>
      </c>
      <c r="J710" s="189">
        <f ca="1">IFERROR(__xludf.DUMMYFUNCTION("IMPORTRANGE(""https://docs.google.com/spreadsheets/d/1tdoBKaGub7dwA3U6UFTqxio9LNnvDCQjHKmttSEBsFQ/edit?usp=sharing"",""จัดที่ดิน!BP25"")"),0)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IFERROR(__xludf.DUMMYFUNCTION("IMPORTRANGE(""https://docs.google.com/spreadsheets/d/1tdoBKaGub7dwA3U6UFTqxio9LNnvDCQjHKmttSEBsFQ/edit?usp=sharing"",""จัดที่ดิน!BQ25"")"),0)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IFERROR(__xludf.DUMMYFUNCTION("IMPORTRANGE(""https://docs.google.com/spreadsheets/d/1eHaY18a8A9IcSdp1K8H6x8fbOy06t2VsZHhMHf-1x7Y/edit?usp=sharing"",""แผน!GA25"")"),16)</f>
        <v>16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IFERROR(__xludf.DUMMYFUNCTION("IMPORTRANGE(""https://docs.google.com/spreadsheets/d/1eHaY18a8A9IcSdp1K8H6x8fbOy06t2VsZHhMHf-1x7Y/edit?usp=sharing"",""แผน!FZ25"")"),150)</f>
        <v>150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144438</v>
      </c>
      <c r="R729" s="515">
        <f t="shared" ca="1" si="442"/>
        <v>144438</v>
      </c>
      <c r="S729" s="515">
        <f t="shared" ca="1" si="442"/>
        <v>0</v>
      </c>
      <c r="T729" s="515">
        <f t="shared" ref="T729:T737" ca="1" si="443">IF(Q729&gt;0,S729*100/Q729,0)</f>
        <v>0</v>
      </c>
      <c r="U729" s="515">
        <f t="shared" ref="U729:U737" ca="1" si="444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144438</v>
      </c>
      <c r="R731" s="230">
        <f t="shared" ca="1" si="446"/>
        <v>144438</v>
      </c>
      <c r="S731" s="230">
        <f t="shared" ca="1" si="446"/>
        <v>0</v>
      </c>
      <c r="T731" s="230">
        <f t="shared" ca="1" si="443"/>
        <v>0</v>
      </c>
      <c r="U731" s="230">
        <f t="shared" ca="1" si="444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144438</v>
      </c>
      <c r="R732" s="230">
        <f t="shared" ca="1" si="448"/>
        <v>144438</v>
      </c>
      <c r="S732" s="230">
        <f t="shared" ca="1" si="448"/>
        <v>0</v>
      </c>
      <c r="T732" s="230">
        <f t="shared" ca="1" si="443"/>
        <v>0</v>
      </c>
      <c r="U732" s="230">
        <f t="shared" ca="1" si="444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4" s="230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4" s="230">
        <f ca="1">IFERROR(__xludf.DUMMYFUNCTION("IMPORTRANGE(""https://docs.google.com/spreadsheets/d/1ItG2mGa2ceCfYo0BwxsXqNm01IGEUdYcSSLTEv9YCik/edit?usp=sharing"",""เบิกจ่ายกองทุน!Q25"")"),0)</f>
        <v>0</v>
      </c>
      <c r="T734" s="230">
        <f t="shared" ca="1" si="443"/>
        <v>0</v>
      </c>
      <c r="U734" s="230">
        <f t="shared" ca="1" si="444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IFERROR(__xludf.DUMMYFUNCTION("IMPORTRANGE(""https://docs.google.com/spreadsheets/d/1eHaY18a8A9IcSdp1K8H6x8fbOy06t2VsZHhMHf-1x7Y/edit?usp=sharing"",""แผน!GB25"")"),120)</f>
        <v>120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IFERROR(__xludf.DUMMYFUNCTION("IMPORTRANGE(""https://docs.google.com/spreadsheets/d/1eHaY18a8A9IcSdp1K8H6x8fbOy06t2VsZHhMHf-1x7Y/edit?usp=sharing"",""แผน!GC25"")"),12)</f>
        <v>12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IFERROR(__xludf.DUMMYFUNCTION("IMPORTRANGE(""https://docs.google.com/spreadsheets/d/1eHaY18a8A9IcSdp1K8H6x8fbOy06t2VsZHhMHf-1x7Y/edit?usp=sharing"",""แผน!GD25"")"),30)</f>
        <v>30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IFERROR(__xludf.DUMMYFUNCTION("IMPORTRANGE(""https://docs.google.com/spreadsheets/d/1eHaY18a8A9IcSdp1K8H6x8fbOy06t2VsZHhMHf-1x7Y/edit?usp=sharing"",""แผน!GE25"")"),3)</f>
        <v>3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IFERROR(__xludf.DUMMYFUNCTION("IMPORTRANGE(""https://docs.google.com/spreadsheets/d/1eHaY18a8A9IcSdp1K8H6x8fbOy06t2VsZHhMHf-1x7Y/edit?usp=sharing"",""แผน!GF25"")"),1)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IFERROR(__xludf.DUMMYFUNCTION("IMPORTRANGE(""https://docs.google.com/spreadsheets/d/1eHaY18a8A9IcSdp1K8H6x8fbOy06t2VsZHhMHf-1x7Y/edit?usp=sharing"",""แผน!GC25"")"),12)</f>
        <v>12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IFERROR(__xludf.DUMMYFUNCTION("IMPORTRANGE(""https://docs.google.com/spreadsheets/d/1eHaY18a8A9IcSdp1K8H6x8fbOy06t2VsZHhMHf-1x7Y/edit?usp=sharing"",""แผน!GE25"")"),3)</f>
        <v>3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60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120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422100</v>
      </c>
      <c r="R760" s="515">
        <f t="shared" ca="1" si="457"/>
        <v>422100</v>
      </c>
      <c r="S760" s="515">
        <f t="shared" ca="1" si="457"/>
        <v>2880</v>
      </c>
      <c r="T760" s="515">
        <f t="shared" ref="T760:T768" ca="1" si="458">IF(Q760&gt;0,S760*100/Q760,0)</f>
        <v>0.68230277185501065</v>
      </c>
      <c r="U760" s="515">
        <f t="shared" ref="U760:U768" ca="1" si="459">IF(R760&gt;0,S760*100/R760,0)</f>
        <v>0.68230277185501065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422100</v>
      </c>
      <c r="R762" s="230">
        <f t="shared" ca="1" si="461"/>
        <v>422100</v>
      </c>
      <c r="S762" s="230">
        <f t="shared" ca="1" si="461"/>
        <v>2880</v>
      </c>
      <c r="T762" s="230">
        <f t="shared" ca="1" si="458"/>
        <v>0.68230277185501065</v>
      </c>
      <c r="U762" s="230">
        <f t="shared" ca="1" si="459"/>
        <v>0.68230277185501065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422100</v>
      </c>
      <c r="R763" s="230">
        <f t="shared" ca="1" si="463"/>
        <v>422100</v>
      </c>
      <c r="S763" s="230">
        <f t="shared" ca="1" si="463"/>
        <v>2880</v>
      </c>
      <c r="T763" s="230">
        <f t="shared" ca="1" si="458"/>
        <v>0.68230277185501065</v>
      </c>
      <c r="U763" s="230">
        <f t="shared" ca="1" si="459"/>
        <v>0.68230277185501065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IFERROR(__xludf.DUMMYFUNCTION("IMPORTRANGE(""https://docs.google.com/spreadsheets/d/1ItG2mGa2ceCfYo0BwxsXqNm01IGEUdYcSSLTEv9YCik/edit?usp=sharing"",""เบิกจ่ายกองทุน!U25"")"),422100)</f>
        <v>422100</v>
      </c>
      <c r="R765" s="230">
        <f ca="1">IFERROR(__xludf.DUMMYFUNCTION("IMPORTRANGE(""https://docs.google.com/spreadsheets/d/1ItG2mGa2ceCfYo0BwxsXqNm01IGEUdYcSSLTEv9YCik/edit?usp=sharing"",""เบิกจ่ายกองทุน!V25"")"),422100)</f>
        <v>422100</v>
      </c>
      <c r="S765" s="230">
        <f ca="1">IFERROR(__xludf.DUMMYFUNCTION("IMPORTRANGE(""https://docs.google.com/spreadsheets/d/1ItG2mGa2ceCfYo0BwxsXqNm01IGEUdYcSSLTEv9YCik/edit?usp=sharing"",""เบิกจ่ายกองทุน!W25"")"),2880)</f>
        <v>2880</v>
      </c>
      <c r="T765" s="230">
        <f t="shared" ca="1" si="458"/>
        <v>0.68230277185501065</v>
      </c>
      <c r="U765" s="230">
        <f t="shared" ca="1" si="459"/>
        <v>0.68230277185501065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IFERROR(__xludf.DUMMYFUNCTION("IMPORTRANGE(""https://docs.google.com/spreadsheets/d/1eHaY18a8A9IcSdp1K8H6x8fbOy06t2VsZHhMHf-1x7Y/edit?usp=sharing"",""แผน!FI25"")"),0)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IFERROR(__xludf.DUMMYFUNCTION("IMPORTRANGE(""https://docs.google.com/spreadsheets/d/1eHaY18a8A9IcSdp1K8H6x8fbOy06t2VsZHhMHf-1x7Y/edit?usp=sharing"",""แผน!FQ25"")"),60)</f>
        <v>60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IFERROR(__xludf.DUMMYFUNCTION("IMPORTRANGE(""https://docs.google.com/spreadsheets/d/1eHaY18a8A9IcSdp1K8H6x8fbOy06t2VsZHhMHf-1x7Y/edit?usp=sharing"",""แผน!FR25"")"),120)</f>
        <v>120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IFERROR(__xludf.DUMMYFUNCTION("IMPORTRANGE(""https://docs.google.com/spreadsheets/d/1eHaY18a8A9IcSdp1K8H6x8fbOy06t2VsZHhMHf-1x7Y/edit?usp=sharing"",""แผน!FS25"")"),120)</f>
        <v>120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IFERROR(__xludf.DUMMYFUNCTION("IMPORTRANGE(""https://docs.google.com/spreadsheets/d/1eHaY18a8A9IcSdp1K8H6x8fbOy06t2VsZHhMHf-1x7Y/edit?usp=sharing"",""แผน!FT25"")"),60)</f>
        <v>60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IFERROR(__xludf.DUMMYFUNCTION("IMPORTRANGE(""https://docs.google.com/spreadsheets/d/10OvvATaaLtwErnr3qtWFcTmtbfpFEt5Bsqel9sXx0uE/edit?usp=sharing"",""งานกองทุน!D25"")"),1087388.89)</f>
        <v>1087388.8899999999</v>
      </c>
      <c r="J778" s="189">
        <f ca="1">IFERROR(__xludf.DUMMYFUNCTION("IMPORTRANGE(""https://docs.google.com/spreadsheets/d/10OvvATaaLtwErnr3qtWFcTmtbfpFEt5Bsqel9sXx0uE/edit?usp=sharing"",""งานกองทุน!F25"")"),245739.56)</f>
        <v>245739.56</v>
      </c>
      <c r="K778" s="230">
        <f t="shared" ref="K778:K785" ca="1" si="466">IF(I778&gt;0,J778*100/I778,0)</f>
        <v>22.59905009697129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IFERROR(__xludf.DUMMYFUNCTION("IMPORTRANGE(""https://docs.google.com/spreadsheets/d/10OvvATaaLtwErnr3qtWFcTmtbfpFEt5Bsqel9sXx0uE/edit?usp=sharing"",""งานกองทุน!C25"")"),111)</f>
        <v>111</v>
      </c>
      <c r="J779" s="189">
        <f ca="1">IFERROR(__xludf.DUMMYFUNCTION("IMPORTRANGE(""https://docs.google.com/spreadsheets/d/10OvvATaaLtwErnr3qtWFcTmtbfpFEt5Bsqel9sXx0uE/edit?usp=sharing"",""งานกองทุน!E25"")"),28)</f>
        <v>28</v>
      </c>
      <c r="K779" s="230">
        <f t="shared" ca="1" si="466"/>
        <v>25.225225225225227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9">
        <f ca="1">IFERROR(__xludf.DUMMYFUNCTION("IMPORTRANGE(""https://docs.google.com/spreadsheets/d/10OvvATaaLtwErnr3qtWFcTmtbfpFEt5Bsqel9sXx0uE/edit?usp=sharing"",""งานกองทุน!K25"")"),42274.9)</f>
        <v>42274.9</v>
      </c>
      <c r="K780" s="230">
        <f t="shared" ca="1" si="466"/>
        <v>13.264629658194394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IFERROR(__xludf.DUMMYFUNCTION("IMPORTRANGE(""https://docs.google.com/spreadsheets/d/10OvvATaaLtwErnr3qtWFcTmtbfpFEt5Bsqel9sXx0uE/edit?usp=sharing"",""งานกองทุน!H25"")"),18)</f>
        <v>18</v>
      </c>
      <c r="J781" s="189">
        <f ca="1">IFERROR(__xludf.DUMMYFUNCTION("IMPORTRANGE(""https://docs.google.com/spreadsheets/d/10OvvATaaLtwErnr3qtWFcTmtbfpFEt5Bsqel9sXx0uE/edit?usp=sharing"",""งานกองทุน!J25"")"),9)</f>
        <v>9</v>
      </c>
      <c r="K781" s="230">
        <f t="shared" ca="1" si="466"/>
        <v>50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IFERROR(__xludf.DUMMYFUNCTION("IMPORTRANGE(""https://docs.google.com/spreadsheets/d/10OvvATaaLtwErnr3qtWFcTmtbfpFEt5Bsqel9sXx0uE/edit?usp=sharing"",""งานกองทุน!N25"")"),0)</f>
        <v>0</v>
      </c>
      <c r="J782" s="189">
        <f ca="1">IFERROR(__xludf.DUMMYFUNCTION("IMPORTRANGE(""https://docs.google.com/spreadsheets/d/10OvvATaaLtwErnr3qtWFcTmtbfpFEt5Bsqel9sXx0uE/edit?usp=sharing"",""งานกองทุน!P25"")"),0)</f>
        <v>0</v>
      </c>
      <c r="K782" s="230">
        <f t="shared" ca="1" si="466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IFERROR(__xludf.DUMMYFUNCTION("IMPORTRANGE(""https://docs.google.com/spreadsheets/d/10OvvATaaLtwErnr3qtWFcTmtbfpFEt5Bsqel9sXx0uE/edit?usp=sharing"",""งานกองทุน!M25"")"),0)</f>
        <v>0</v>
      </c>
      <c r="J783" s="189">
        <f ca="1">IFERROR(__xludf.DUMMYFUNCTION("IMPORTRANGE(""https://docs.google.com/spreadsheets/d/10OvvATaaLtwErnr3qtWFcTmtbfpFEt5Bsqel9sXx0uE/edit?usp=sharing"",""งานกองทุน!O25"")"),0)</f>
        <v>0</v>
      </c>
      <c r="K783" s="230">
        <f t="shared" ca="1" si="466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IFERROR(__xludf.DUMMYFUNCTION("IMPORTRANGE(""https://docs.google.com/spreadsheets/d/10OvvATaaLtwErnr3qtWFcTmtbfpFEt5Bsqel9sXx0uE/edit?usp=sharing"",""งานกองทุน!S25"")"),1652000)</f>
        <v>1652000</v>
      </c>
      <c r="J784" s="189">
        <f ca="1">IFERROR(__xludf.DUMMYFUNCTION("IMPORTRANGE(""https://docs.google.com/spreadsheets/d/10OvvATaaLtwErnr3qtWFcTmtbfpFEt5Bsqel9sXx0uE/edit?usp=sharing"",""งานกองทุน!U25"")"),820000)</f>
        <v>820000</v>
      </c>
      <c r="K784" s="230">
        <f t="shared" ca="1" si="466"/>
        <v>49.63680387409201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IFERROR(__xludf.DUMMYFUNCTION("IMPORTRANGE(""https://docs.google.com/spreadsheets/d/10OvvATaaLtwErnr3qtWFcTmtbfpFEt5Bsqel9sXx0uE/edit?usp=sharing"",""งานกองทุน!R25"")"),59)</f>
        <v>59</v>
      </c>
      <c r="J785" s="194">
        <f ca="1">IFERROR(__xludf.DUMMYFUNCTION("IMPORTRANGE(""https://docs.google.com/spreadsheets/d/10OvvATaaLtwErnr3qtWFcTmtbfpFEt5Bsqel9sXx0uE/edit?usp=sharing"",""งานกองทุน!T25"")"),22)</f>
        <v>22</v>
      </c>
      <c r="K785" s="461">
        <f t="shared" ca="1" si="466"/>
        <v>37.288135593220339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21474-2242-4544-94C0-5166F4536A09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327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2016805</v>
      </c>
      <c r="M19" s="474">
        <f t="shared" ca="1" si="0"/>
        <v>2180345</v>
      </c>
      <c r="N19" s="474">
        <f t="shared" ca="1" si="0"/>
        <v>1136941.54</v>
      </c>
      <c r="O19" s="474">
        <f t="shared" ref="O19:O27" ca="1" si="1">IF(L19&gt;0,N19*100/L19,0)</f>
        <v>56.373399510612082</v>
      </c>
      <c r="P19" s="474">
        <f t="shared" ref="P19:P27" ca="1" si="2">IF(M19&gt;0,N19*100/M19,0)</f>
        <v>52.145029341686751</v>
      </c>
      <c r="Q19" s="474">
        <f t="shared" ref="Q19:S19" ca="1" si="3">Q20+Q21</f>
        <v>3449733.39</v>
      </c>
      <c r="R19" s="474">
        <f t="shared" ca="1" si="3"/>
        <v>3324733</v>
      </c>
      <c r="S19" s="474">
        <f t="shared" ca="1" si="3"/>
        <v>22200</v>
      </c>
      <c r="T19" s="474">
        <f t="shared" ref="T19:T27" ca="1" si="4">IF(Q19&gt;0,S19*100/Q19,0)</f>
        <v>0.64352799159357643</v>
      </c>
      <c r="U19" s="474">
        <f t="shared" ref="U19:U27" ca="1" si="5">IF(R19&gt;0,S19*100/R19,0)</f>
        <v>0.66772279157454151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2016805</v>
      </c>
      <c r="M21" s="480">
        <f t="shared" ca="1" si="6"/>
        <v>2180345</v>
      </c>
      <c r="N21" s="480">
        <f t="shared" ca="1" si="6"/>
        <v>1136941.54</v>
      </c>
      <c r="O21" s="480">
        <f t="shared" ca="1" si="1"/>
        <v>56.373399510612082</v>
      </c>
      <c r="P21" s="480">
        <f t="shared" ca="1" si="2"/>
        <v>52.145029341686751</v>
      </c>
      <c r="Q21" s="480">
        <f t="shared" ca="1" si="7"/>
        <v>3449733.39</v>
      </c>
      <c r="R21" s="480">
        <f t="shared" ca="1" si="7"/>
        <v>3324733</v>
      </c>
      <c r="S21" s="480">
        <f t="shared" ca="1" si="7"/>
        <v>22200</v>
      </c>
      <c r="T21" s="480">
        <f t="shared" ca="1" si="4"/>
        <v>0.64352799159357643</v>
      </c>
      <c r="U21" s="480">
        <f t="shared" ca="1" si="5"/>
        <v>0.66772279157454151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2016805</v>
      </c>
      <c r="M22" s="230">
        <f t="shared" ca="1" si="8"/>
        <v>2180345</v>
      </c>
      <c r="N22" s="230">
        <f t="shared" ca="1" si="8"/>
        <v>1136941.54</v>
      </c>
      <c r="O22" s="230">
        <f t="shared" ca="1" si="1"/>
        <v>56.373399510612082</v>
      </c>
      <c r="P22" s="230">
        <f t="shared" ca="1" si="2"/>
        <v>52.145029341686751</v>
      </c>
      <c r="Q22" s="230">
        <f t="shared" ref="Q22:S22" ca="1" si="9">Q23+Q24</f>
        <v>3449733.39</v>
      </c>
      <c r="R22" s="230">
        <f t="shared" ca="1" si="9"/>
        <v>3324733</v>
      </c>
      <c r="S22" s="230">
        <f t="shared" ca="1" si="9"/>
        <v>22200</v>
      </c>
      <c r="T22" s="230">
        <f t="shared" ca="1" si="4"/>
        <v>0.64352799159357643</v>
      </c>
      <c r="U22" s="230">
        <f t="shared" ca="1" si="5"/>
        <v>0.66772279157454151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2016805</v>
      </c>
      <c r="M24" s="230">
        <f t="shared" ca="1" si="10"/>
        <v>2180345</v>
      </c>
      <c r="N24" s="230">
        <f t="shared" ca="1" si="10"/>
        <v>1136941.54</v>
      </c>
      <c r="O24" s="230">
        <f t="shared" ca="1" si="1"/>
        <v>56.373399510612082</v>
      </c>
      <c r="P24" s="230">
        <f t="shared" ca="1" si="2"/>
        <v>52.145029341686751</v>
      </c>
      <c r="Q24" s="230">
        <f t="shared" ca="1" si="11"/>
        <v>3449733.39</v>
      </c>
      <c r="R24" s="230">
        <f t="shared" ca="1" si="11"/>
        <v>3324733</v>
      </c>
      <c r="S24" s="230">
        <f t="shared" ca="1" si="11"/>
        <v>22200</v>
      </c>
      <c r="T24" s="230">
        <f t="shared" ca="1" si="4"/>
        <v>0.64352799159357643</v>
      </c>
      <c r="U24" s="230">
        <f t="shared" ca="1" si="5"/>
        <v>0.66772279157454151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2016805</v>
      </c>
      <c r="M41" s="487">
        <f t="shared" ca="1" si="16"/>
        <v>2180345</v>
      </c>
      <c r="N41" s="487">
        <f t="shared" ca="1" si="16"/>
        <v>1136941.54</v>
      </c>
      <c r="O41" s="487">
        <f ca="1">IF(L41&gt;0,N41*100/L41,0)</f>
        <v>56.373399510612082</v>
      </c>
      <c r="P41" s="487">
        <f ca="1">IF(M41&gt;0,N41*100/M41,0)</f>
        <v>52.145029341686751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357400</v>
      </c>
      <c r="M45" s="491">
        <f t="shared" ca="1" si="17"/>
        <v>400960</v>
      </c>
      <c r="N45" s="491">
        <f t="shared" ca="1" si="17"/>
        <v>250360</v>
      </c>
      <c r="O45" s="491">
        <f t="shared" ref="O45:O53" ca="1" si="18">IF(L45&gt;0,N45*100/L45,0)</f>
        <v>70.050363738108558</v>
      </c>
      <c r="P45" s="491">
        <f t="shared" ref="P45:P53" ca="1" si="19">IF(M45&gt;0,N45*100/M45,0)</f>
        <v>62.440143655227452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357400</v>
      </c>
      <c r="M47" s="497">
        <f t="shared" ca="1" si="23"/>
        <v>400960</v>
      </c>
      <c r="N47" s="497">
        <f t="shared" ca="1" si="23"/>
        <v>250360</v>
      </c>
      <c r="O47" s="497">
        <f t="shared" ca="1" si="18"/>
        <v>70.050363738108558</v>
      </c>
      <c r="P47" s="497">
        <f t="shared" ca="1" si="19"/>
        <v>62.440143655227452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357400</v>
      </c>
      <c r="M48" s="230">
        <f t="shared" ca="1" si="25"/>
        <v>400960</v>
      </c>
      <c r="N48" s="230">
        <f t="shared" ca="1" si="25"/>
        <v>250360</v>
      </c>
      <c r="O48" s="230">
        <f t="shared" ca="1" si="18"/>
        <v>70.050363738108558</v>
      </c>
      <c r="P48" s="230">
        <f t="shared" ca="1" si="19"/>
        <v>62.440143655227452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IFERROR(__xludf.DUMMYFUNCTION("IMPORTRANGE(""https://docs.google.com/spreadsheets/d/1-uDff_7J0KD5mKrp0Vvzr7lt3OU09vwQwhkpOPPYv2Y/edit?usp=sharing"",""งบพรบ!P26"")"),357400)</f>
        <v>357400</v>
      </c>
      <c r="M50" s="230">
        <f ca="1">IFERROR(__xludf.DUMMYFUNCTION("IMPORTRANGE(""https://docs.google.com/spreadsheets/d/1-uDff_7J0KD5mKrp0Vvzr7lt3OU09vwQwhkpOPPYv2Y/edit?usp=sharing"",""งบพรบ!V26"")"),400960)</f>
        <v>400960</v>
      </c>
      <c r="N50" s="230">
        <f ca="1">IFERROR(__xludf.DUMMYFUNCTION("IMPORTRANGE(""https://docs.google.com/spreadsheets/d/1-uDff_7J0KD5mKrp0Vvzr7lt3OU09vwQwhkpOPPYv2Y/edit?usp=sharing"",""งบพรบ!Y26"")"),250360)</f>
        <v>250360</v>
      </c>
      <c r="O50" s="230">
        <f t="shared" ca="1" si="18"/>
        <v>70.050363738108558</v>
      </c>
      <c r="P50" s="230">
        <f t="shared" ca="1" si="19"/>
        <v>62.440143655227452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IFERROR(__xludf.DUMMYFUNCTION("IMPORTRANGE(""https://docs.google.com/spreadsheets/d/1-uDff_7J0KD5mKrp0Vvzr7lt3OU09vwQwhkpOPPYv2Y/edit?usp=sharing"",""งบพรบ!S26"")"),0)</f>
        <v>0</v>
      </c>
      <c r="M53" s="230">
        <f ca="1">IFERROR(__xludf.DUMMYFUNCTION("IMPORTRANGE(""https://docs.google.com/spreadsheets/d/1-uDff_7J0KD5mKrp0Vvzr7lt3OU09vwQwhkpOPPYv2Y/edit?usp=sharing"",""งบพรบ!W26"")"),0)</f>
        <v>0</v>
      </c>
      <c r="N53" s="230">
        <f ca="1">IFERROR(__xludf.DUMMYFUNCTION("IMPORTRANGE(""https://docs.google.com/spreadsheets/d/1-uDff_7J0KD5mKrp0Vvzr7lt3OU09vwQwhkpOPPYv2Y/edit?usp=sharing"",""งบพรบ!Z26"")"),0)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439800</v>
      </c>
      <c r="M60" s="502">
        <f t="shared" ca="1" si="29"/>
        <v>439800</v>
      </c>
      <c r="N60" s="502">
        <f t="shared" ca="1" si="29"/>
        <v>343143.13</v>
      </c>
      <c r="O60" s="502">
        <f t="shared" ref="O60:O68" ca="1" si="30">IF(L60&gt;0,N60*100/L60,0)</f>
        <v>78.022539790814008</v>
      </c>
      <c r="P60" s="502">
        <f t="shared" ref="P60:P68" ca="1" si="31">IF(M60&gt;0,N60*100/M60,0)</f>
        <v>78.022539790814008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439800</v>
      </c>
      <c r="M62" s="508">
        <f t="shared" ca="1" si="35"/>
        <v>439800</v>
      </c>
      <c r="N62" s="508">
        <f t="shared" ca="1" si="35"/>
        <v>343143.13</v>
      </c>
      <c r="O62" s="508">
        <f t="shared" ca="1" si="30"/>
        <v>78.022539790814008</v>
      </c>
      <c r="P62" s="508">
        <f t="shared" ca="1" si="31"/>
        <v>78.022539790814008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439800</v>
      </c>
      <c r="M63" s="230">
        <f t="shared" ca="1" si="37"/>
        <v>439800</v>
      </c>
      <c r="N63" s="230">
        <f t="shared" ca="1" si="37"/>
        <v>343143.13</v>
      </c>
      <c r="O63" s="230">
        <f t="shared" ca="1" si="30"/>
        <v>78.022539790814008</v>
      </c>
      <c r="P63" s="230">
        <f t="shared" ca="1" si="31"/>
        <v>78.022539790814008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IFERROR(__xludf.DUMMYFUNCTION("IMPORTRANGE(""https://docs.google.com/spreadsheets/d/1-uDff_7J0KD5mKrp0Vvzr7lt3OU09vwQwhkpOPPYv2Y/edit?usp=sharing"",""งบพรบ!AC26"")"),439800)</f>
        <v>439800</v>
      </c>
      <c r="M65" s="230">
        <f ca="1">IFERROR(__xludf.DUMMYFUNCTION("IMPORTRANGE(""https://docs.google.com/spreadsheets/d/1-uDff_7J0KD5mKrp0Vvzr7lt3OU09vwQwhkpOPPYv2Y/edit?usp=sharing"",""งบพรบ!AH26"")"),439800)</f>
        <v>439800</v>
      </c>
      <c r="N65" s="230">
        <f ca="1">IFERROR(__xludf.DUMMYFUNCTION("IMPORTRANGE(""https://docs.google.com/spreadsheets/d/1-uDff_7J0KD5mKrp0Vvzr7lt3OU09vwQwhkpOPPYv2Y/edit?usp=sharing"",""งบพรบ!AJ26"")"),343143.13)</f>
        <v>343143.13</v>
      </c>
      <c r="O65" s="230">
        <f t="shared" ca="1" si="30"/>
        <v>78.022539790814008</v>
      </c>
      <c r="P65" s="230">
        <f t="shared" ca="1" si="31"/>
        <v>78.022539790814008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IFERROR(__xludf.DUMMYFUNCTION("IMPORTRANGE(""https://docs.google.com/spreadsheets/d/1-uDff_7J0KD5mKrp0Vvzr7lt3OU09vwQwhkpOPPYv2Y/edit?usp=sharing"",""งบพรบ!AF26"")"),0)</f>
        <v>0</v>
      </c>
      <c r="M68" s="461">
        <f ca="1">IFERROR(__xludf.DUMMYFUNCTION("IMPORTRANGE(""https://docs.google.com/spreadsheets/d/1-uDff_7J0KD5mKrp0Vvzr7lt3OU09vwQwhkpOPPYv2Y/edit?usp=sharing"",""งบพรบ!AI26"")"),0)</f>
        <v>0</v>
      </c>
      <c r="N68" s="461">
        <f ca="1">IFERROR(__xludf.DUMMYFUNCTION("IMPORTRANGE(""https://docs.google.com/spreadsheets/d/1-uDff_7J0KD5mKrp0Vvzr7lt3OU09vwQwhkpOPPYv2Y/edit?usp=sharing"",""งบพรบ!AK26"")"),0)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2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177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150000</v>
      </c>
      <c r="M73" s="515">
        <f t="shared" ca="1" si="43"/>
        <v>150000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1552240</v>
      </c>
      <c r="R73" s="515">
        <f t="shared" ca="1" si="46"/>
        <v>1552240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150000</v>
      </c>
      <c r="M75" s="230">
        <f t="shared" ca="1" si="49"/>
        <v>150000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1552240</v>
      </c>
      <c r="R75" s="230">
        <f t="shared" ca="1" si="50"/>
        <v>1552240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150000</v>
      </c>
      <c r="M76" s="230">
        <f t="shared" ca="1" si="51"/>
        <v>150000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1552240</v>
      </c>
      <c r="R76" s="230">
        <f t="shared" ca="1" si="52"/>
        <v>1552240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IFERROR(__xludf.DUMMYFUNCTION("IMPORTRANGE(""https://docs.google.com/spreadsheets/d/1-uDff_7J0KD5mKrp0Vvzr7lt3OU09vwQwhkpOPPYv2Y/edit?usp=sharing"",""งบพรบ!AM26"")"),150000)</f>
        <v>150000</v>
      </c>
      <c r="M78" s="230">
        <f ca="1">IFERROR(__xludf.DUMMYFUNCTION("IMPORTRANGE(""https://docs.google.com/spreadsheets/d/1-uDff_7J0KD5mKrp0Vvzr7lt3OU09vwQwhkpOPPYv2Y/edit?usp=sharing"",""งบพรบ!AR26"")"),150000)</f>
        <v>150000</v>
      </c>
      <c r="N78" s="230">
        <f ca="1">IFERROR(__xludf.DUMMYFUNCTION("IMPORTRANGE(""https://docs.google.com/spreadsheets/d/1-uDff_7J0KD5mKrp0Vvzr7lt3OU09vwQwhkpOPPYv2Y/edit?usp=sharing"",""งบพรบ!AT26"")"),0)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IFERROR(__xludf.DUMMYFUNCTION("IMPORTRANGE(""https://docs.google.com/spreadsheets/d/1ItG2mGa2ceCfYo0BwxsXqNm01IGEUdYcSSLTEv9YCik/edit?usp=sharing"",""เบิกจ่ายกองทุน!AS26"")"),1552240)</f>
        <v>1552240</v>
      </c>
      <c r="R78" s="230">
        <f ca="1">IFERROR(__xludf.DUMMYFUNCTION("IMPORTRANGE(""https://docs.google.com/spreadsheets/d/1ItG2mGa2ceCfYo0BwxsXqNm01IGEUdYcSSLTEv9YCik/edit?usp=sharing"",""เบิกจ่ายกองทุน!AT26"")"),1552240)</f>
        <v>1552240</v>
      </c>
      <c r="S78" s="230">
        <f ca="1">IFERROR(__xludf.DUMMYFUNCTION("IMPORTRANGE(""https://docs.google.com/spreadsheets/d/1ItG2mGa2ceCfYo0BwxsXqNm01IGEUdYcSSLTEv9YCik/edit?usp=sharing"",""เบิกจ่ายกองทุน!AU26"")"),0)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IFERROR(__xludf.DUMMYFUNCTION("IMPORTRANGE(""https://docs.google.com/spreadsheets/d/1-uDff_7J0KD5mKrp0Vvzr7lt3OU09vwQwhkpOPPYv2Y/edit?usp=sharing"",""งบพรบ!AP26"")"),0)</f>
        <v>0</v>
      </c>
      <c r="M81" s="230">
        <f ca="1">IFERROR(__xludf.DUMMYFUNCTION("IMPORTRANGE(""https://docs.google.com/spreadsheets/d/1-uDff_7J0KD5mKrp0Vvzr7lt3OU09vwQwhkpOPPYv2Y/edit?usp=sharing"",""งบพรบ!AS26"")"),0)</f>
        <v>0</v>
      </c>
      <c r="N81" s="230">
        <f ca="1">IFERROR(__xludf.DUMMYFUNCTION("IMPORTRANGE(""https://docs.google.com/spreadsheets/d/1-uDff_7J0KD5mKrp0Vvzr7lt3OU09vwQwhkpOPPYv2Y/edit?usp=sharing"",""งบพรบ!AU26"")"),0)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2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177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IFERROR(__xludf.DUMMYFUNCTION("IMPORTRANGE(""https://docs.google.com/spreadsheets/d/1eHaY18a8A9IcSdp1K8H6x8fbOy06t2VsZHhMHf-1x7Y/edit?usp=sharing"",""แผน!H26"")"),2)</f>
        <v>2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IFERROR(__xludf.DUMMYFUNCTION("IMPORTRANGE(""https://docs.google.com/spreadsheets/d/1eHaY18a8A9IcSdp1K8H6x8fbOy06t2VsZHhMHf-1x7Y/edit?usp=sharing"",""แผน!I26"")"),177)</f>
        <v>177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IFERROR(__xludf.DUMMYFUNCTION("IMPORTRANGE(""https://docs.google.com/spreadsheets/d/1eHaY18a8A9IcSdp1K8H6x8fbOy06t2VsZHhMHf-1x7Y/edit?usp=sharing"",""แผน!F26"")"),0)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IFERROR(__xludf.DUMMYFUNCTION("IMPORTRANGE(""https://docs.google.com/spreadsheets/d/1eHaY18a8A9IcSdp1K8H6x8fbOy06t2VsZHhMHf-1x7Y/edit?usp=sharing"",""แผน!G26"")"),0)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IFERROR(__xludf.DUMMYFUNCTION("IMPORTRANGE(""https://docs.google.com/spreadsheets/d/1eHaY18a8A9IcSdp1K8H6x8fbOy06t2VsZHhMHf-1x7Y/edit?usp=sharing"",""แผน!D26"")"),0)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IFERROR(__xludf.DUMMYFUNCTION("IMPORTRANGE(""https://docs.google.com/spreadsheets/d/1eHaY18a8A9IcSdp1K8H6x8fbOy06t2VsZHhMHf-1x7Y/edit?usp=sharing"",""แผน!E26"")"),0)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IFERROR(__xludf.DUMMYFUNCTION("IMPORTRANGE(""https://docs.google.com/spreadsheets/d/1eHaY18a8A9IcSdp1K8H6x8fbOy06t2VsZHhMHf-1x7Y/edit?usp=sharing"",""แผน!J26"")"),2)</f>
        <v>2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30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10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84420</v>
      </c>
      <c r="R95" s="515">
        <f t="shared" ca="1" si="62"/>
        <v>84420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84420</v>
      </c>
      <c r="R97" s="230">
        <f t="shared" ca="1" si="66"/>
        <v>84420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84420</v>
      </c>
      <c r="R98" s="230">
        <f t="shared" ca="1" si="68"/>
        <v>84420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IFERROR(__xludf.DUMMYFUNCTION("IMPORTRANGE(""https://docs.google.com/spreadsheets/d/1-uDff_7J0KD5mKrp0Vvzr7lt3OU09vwQwhkpOPPYv2Y/edit?usp=sharing"",""งบพรบ!AW26"")"),0)</f>
        <v>0</v>
      </c>
      <c r="M100" s="230">
        <f ca="1">IFERROR(__xludf.DUMMYFUNCTION("IMPORTRANGE(""https://docs.google.com/spreadsheets/d/1-uDff_7J0KD5mKrp0Vvzr7lt3OU09vwQwhkpOPPYv2Y/edit?usp=sharing"",""งบพรบ!BB26"")"),0)</f>
        <v>0</v>
      </c>
      <c r="N100" s="230">
        <f ca="1">IFERROR(__xludf.DUMMYFUNCTION("IMPORTRANGE(""https://docs.google.com/spreadsheets/d/1-uDff_7J0KD5mKrp0Vvzr7lt3OU09vwQwhkpOPPYv2Y/edit?usp=sharing"",""งบพรบ!BD26"")"),0)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IFERROR(__xludf.DUMMYFUNCTION("IMPORTRANGE(""https://docs.google.com/spreadsheets/d/1ItG2mGa2ceCfYo0BwxsXqNm01IGEUdYcSSLTEv9YCik/edit?usp=sharing"",""เบิกจ่ายกองทุน!AD26"")"),84420)</f>
        <v>84420</v>
      </c>
      <c r="R100" s="230">
        <f ca="1">IFERROR(__xludf.DUMMYFUNCTION("IMPORTRANGE(""https://docs.google.com/spreadsheets/d/1ItG2mGa2ceCfYo0BwxsXqNm01IGEUdYcSSLTEv9YCik/edit?usp=sharing"",""เบิกจ่ายกองทุน!AE26"")"),84420)</f>
        <v>84420</v>
      </c>
      <c r="S100" s="230">
        <f ca="1">IFERROR(__xludf.DUMMYFUNCTION("IMPORTRANGE(""https://docs.google.com/spreadsheets/d/1ItG2mGa2ceCfYo0BwxsXqNm01IGEUdYcSSLTEv9YCik/edit?usp=sharing"",""เบิกจ่ายกองทุน!AF26"")"),0)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IFERROR(__xludf.DUMMYFUNCTION("IMPORTRANGE(""https://docs.google.com/spreadsheets/d/1-uDff_7J0KD5mKrp0Vvzr7lt3OU09vwQwhkpOPPYv2Y/edit?usp=sharing"",""งบพรบ!AZ26"")"),0)</f>
        <v>0</v>
      </c>
      <c r="M103" s="230">
        <f ca="1">IFERROR(__xludf.DUMMYFUNCTION("IMPORTRANGE(""https://docs.google.com/spreadsheets/d/1-uDff_7J0KD5mKrp0Vvzr7lt3OU09vwQwhkpOPPYv2Y/edit?usp=sharing"",""งบพรบ!BC26"")"),0)</f>
        <v>0</v>
      </c>
      <c r="N103" s="230">
        <f ca="1">IFERROR(__xludf.DUMMYFUNCTION("IMPORTRANGE(""https://docs.google.com/spreadsheets/d/1-uDff_7J0KD5mKrp0Vvzr7lt3OU09vwQwhkpOPPYv2Y/edit?usp=sharing"",""งบพรบ!BE26"")"),0)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IFERROR(__xludf.DUMMYFUNCTION("IMPORTRANGE(""https://docs.google.com/spreadsheets/d/1eHaY18a8A9IcSdp1K8H6x8fbOy06t2VsZHhMHf-1x7Y/edit?usp=sharing"",""แผน!N26"")"),30)</f>
        <v>30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IFERROR(__xludf.DUMMYFUNCTION("IMPORTRANGE(""https://docs.google.com/spreadsheets/d/1eHaY18a8A9IcSdp1K8H6x8fbOy06t2VsZHhMHf-1x7Y/edit?usp=sharing"",""แผน!O26"")"),10)</f>
        <v>10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IFERROR(__xludf.DUMMYFUNCTION("IMPORTRANGE(""https://docs.google.com/spreadsheets/d/1eHaY18a8A9IcSdp1K8H6x8fbOy06t2VsZHhMHf-1x7Y/edit?usp=sharing"",""แผน!S26"")"),0)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IFERROR(__xludf.DUMMYFUNCTION("IMPORTRANGE(""https://docs.google.com/spreadsheets/d/1eHaY18a8A9IcSdp1K8H6x8fbOy06t2VsZHhMHf-1x7Y/edit?usp=sharing"",""แผน!R26"")"),10)</f>
        <v>10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50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284520</v>
      </c>
      <c r="R118" s="515">
        <f t="shared" ca="1" si="77"/>
        <v>284520</v>
      </c>
      <c r="S118" s="515">
        <f t="shared" ca="1" si="77"/>
        <v>0</v>
      </c>
      <c r="T118" s="515">
        <f t="shared" ref="T118:T126" ca="1" si="78">IF(Q118&gt;0,S118*100/Q118,0)</f>
        <v>0</v>
      </c>
      <c r="U118" s="515">
        <f t="shared" ref="U118:U126" ca="1" si="79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284520</v>
      </c>
      <c r="R120" s="230">
        <f t="shared" ca="1" si="81"/>
        <v>284520</v>
      </c>
      <c r="S120" s="230">
        <f t="shared" ca="1" si="81"/>
        <v>0</v>
      </c>
      <c r="T120" s="230">
        <f t="shared" ca="1" si="78"/>
        <v>0</v>
      </c>
      <c r="U120" s="230">
        <f t="shared" ca="1" si="79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284520</v>
      </c>
      <c r="R121" s="230">
        <f t="shared" ca="1" si="83"/>
        <v>284520</v>
      </c>
      <c r="S121" s="230">
        <f t="shared" ca="1" si="83"/>
        <v>0</v>
      </c>
      <c r="T121" s="230">
        <f t="shared" ca="1" si="78"/>
        <v>0</v>
      </c>
      <c r="U121" s="230">
        <f t="shared" ca="1" si="79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IFERROR(__xludf.DUMMYFUNCTION("IMPORTRANGE(""https://docs.google.com/spreadsheets/d/1-uDff_7J0KD5mKrp0Vvzr7lt3OU09vwQwhkpOPPYv2Y/edit?usp=sharing"",""งบพรบ!BG26"")"),0)</f>
        <v>0</v>
      </c>
      <c r="M123" s="230">
        <f ca="1">IFERROR(__xludf.DUMMYFUNCTION("IMPORTRANGE(""https://docs.google.com/spreadsheets/d/1-uDff_7J0KD5mKrp0Vvzr7lt3OU09vwQwhkpOPPYv2Y/edit?usp=sharing"",""งบพรบ!BL26"")"),0)</f>
        <v>0</v>
      </c>
      <c r="N123" s="230">
        <f ca="1">IFERROR(__xludf.DUMMYFUNCTION("IMPORTRANGE(""https://docs.google.com/spreadsheets/d/1-uDff_7J0KD5mKrp0Vvzr7lt3OU09vwQwhkpOPPYv2Y/edit?usp=sharing"",""งบพรบ!BN26"")"),0)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IFERROR(__xludf.DUMMYFUNCTION("IMPORTRANGE(""https://docs.google.com/spreadsheets/d/1ItG2mGa2ceCfYo0BwxsXqNm01IGEUdYcSSLTEv9YCik/edit?usp=sharing"",""เบิกจ่ายกองทุน!R26"")"),284520)</f>
        <v>284520</v>
      </c>
      <c r="R123" s="230">
        <f ca="1">IFERROR(__xludf.DUMMYFUNCTION("IMPORTRANGE(""https://docs.google.com/spreadsheets/d/1ItG2mGa2ceCfYo0BwxsXqNm01IGEUdYcSSLTEv9YCik/edit?usp=sharing"",""เบิกจ่ายกองทุน!S26"")"),284520)</f>
        <v>284520</v>
      </c>
      <c r="S123" s="230">
        <f ca="1">IFERROR(__xludf.DUMMYFUNCTION("IMPORTRANGE(""https://docs.google.com/spreadsheets/d/1ItG2mGa2ceCfYo0BwxsXqNm01IGEUdYcSSLTEv9YCik/edit?usp=sharing"",""เบิกจ่ายกองทุน!T26"")"),0)</f>
        <v>0</v>
      </c>
      <c r="T123" s="230">
        <f t="shared" ca="1" si="78"/>
        <v>0</v>
      </c>
      <c r="U123" s="230">
        <f t="shared" ca="1" si="79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IFERROR(__xludf.DUMMYFUNCTION("IMPORTRANGE(""https://docs.google.com/spreadsheets/d/1-uDff_7J0KD5mKrp0Vvzr7lt3OU09vwQwhkpOPPYv2Y/edit?usp=sharing"",""งบพรบ!BJ26"")"),0)</f>
        <v>0</v>
      </c>
      <c r="M126" s="230">
        <f ca="1">IFERROR(__xludf.DUMMYFUNCTION("IMPORTRANGE(""https://docs.google.com/spreadsheets/d/1-uDff_7J0KD5mKrp0Vvzr7lt3OU09vwQwhkpOPPYv2Y/edit?usp=sharing"",""งบพรบ!BM26"")"),0)</f>
        <v>0</v>
      </c>
      <c r="N126" s="230">
        <f ca="1">IFERROR(__xludf.DUMMYFUNCTION("IMPORTRANGE(""https://docs.google.com/spreadsheets/d/1-uDff_7J0KD5mKrp0Vvzr7lt3OU09vwQwhkpOPPYv2Y/edit?usp=sharing"",""งบพรบ!BO26"")"),0)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IFERROR(__xludf.DUMMYFUNCTION("IMPORTRANGE(""https://docs.google.com/spreadsheets/d/1eHaY18a8A9IcSdp1K8H6x8fbOy06t2VsZHhMHf-1x7Y/edit?usp=sharing"",""แผน!FF26"")"),50)</f>
        <v>50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IFERROR(__xludf.DUMMYFUNCTION("IMPORTRANGE(""https://docs.google.com/spreadsheets/d/1eHaY18a8A9IcSdp1K8H6x8fbOy06t2VsZHhMHf-1x7Y/edit?usp=sharing"",""แผน!FG26"")"),0)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IFERROR(__xludf.DUMMYFUNCTION("IMPORTRANGE(""https://docs.google.com/spreadsheets/d/1eHaY18a8A9IcSdp1K8H6x8fbOy06t2VsZHhMHf-1x7Y/edit?usp=sharing"",""แผน!FH26"")"),20)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IFERROR(__xludf.DUMMYFUNCTION("IMPORTRANGE(""https://docs.google.com/spreadsheets/d/1eHaY18a8A9IcSdp1K8H6x8fbOy06t2VsZHhMHf-1x7Y/edit?usp=sharing"",""แผน!FI26"")"),0)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3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40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4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164700</v>
      </c>
      <c r="M140" s="515">
        <f t="shared" ca="1" si="90"/>
        <v>159700</v>
      </c>
      <c r="N140" s="515">
        <f t="shared" ca="1" si="90"/>
        <v>52155</v>
      </c>
      <c r="O140" s="515">
        <f t="shared" ref="O140:O148" ca="1" si="91">IF(L140&gt;0,N140*100/L140,0)</f>
        <v>31.666666666666668</v>
      </c>
      <c r="P140" s="515">
        <f t="shared" ref="P140:P148" ca="1" si="92">IF(M140&gt;0,N140*100/M140,0)</f>
        <v>32.65810895428929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164700</v>
      </c>
      <c r="M142" s="230">
        <f t="shared" ca="1" si="96"/>
        <v>159700</v>
      </c>
      <c r="N142" s="230">
        <f t="shared" ca="1" si="96"/>
        <v>52155</v>
      </c>
      <c r="O142" s="230">
        <f t="shared" ca="1" si="91"/>
        <v>31.666666666666668</v>
      </c>
      <c r="P142" s="230">
        <f t="shared" ca="1" si="92"/>
        <v>32.65810895428929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164700</v>
      </c>
      <c r="M143" s="230">
        <f t="shared" ca="1" si="98"/>
        <v>159700</v>
      </c>
      <c r="N143" s="230">
        <f t="shared" ca="1" si="98"/>
        <v>52155</v>
      </c>
      <c r="O143" s="230">
        <f t="shared" ca="1" si="91"/>
        <v>31.666666666666668</v>
      </c>
      <c r="P143" s="230">
        <f t="shared" ca="1" si="92"/>
        <v>32.65810895428929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IFERROR(__xludf.DUMMYFUNCTION("IMPORTRANGE(""https://docs.google.com/spreadsheets/d/1-uDff_7J0KD5mKrp0Vvzr7lt3OU09vwQwhkpOPPYv2Y/edit?usp=sharing"",""งบพรบ!BQ26"")"),164700)</f>
        <v>164700</v>
      </c>
      <c r="M145" s="230">
        <f ca="1">IFERROR(__xludf.DUMMYFUNCTION("IMPORTRANGE(""https://docs.google.com/spreadsheets/d/1-uDff_7J0KD5mKrp0Vvzr7lt3OU09vwQwhkpOPPYv2Y/edit?usp=sharing"",""งบพรบ!BV26"")"),159700)</f>
        <v>159700</v>
      </c>
      <c r="N145" s="230">
        <f ca="1">IFERROR(__xludf.DUMMYFUNCTION("IMPORTRANGE(""https://docs.google.com/spreadsheets/d/1-uDff_7J0KD5mKrp0Vvzr7lt3OU09vwQwhkpOPPYv2Y/edit?usp=sharing"",""งบพรบ!BX26"")"),52155)</f>
        <v>52155</v>
      </c>
      <c r="O145" s="230">
        <f t="shared" ca="1" si="91"/>
        <v>31.666666666666668</v>
      </c>
      <c r="P145" s="230">
        <f t="shared" ca="1" si="92"/>
        <v>32.65810895428929</v>
      </c>
      <c r="Q145" s="230">
        <f ca="1">IFERROR(__xludf.DUMMYFUNCTION("IMPORTRANGE(""https://docs.google.com/spreadsheets/d/1ItG2mGa2ceCfYo0BwxsXqNm01IGEUdYcSSLTEv9YCik/edit?usp=sharing"",""เบิกจ่ายกองทุน!BB26"")"),0)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IFERROR(__xludf.DUMMYFUNCTION("IMPORTRANGE(""https://docs.google.com/spreadsheets/d/1ItG2mGa2ceCfYo0BwxsXqNm01IGEUdYcSSLTEv9YCik/edit?usp=sharing"",""เบิกจ่ายกองทุน!BC26"")"),0)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IFERROR(__xludf.DUMMYFUNCTION("IMPORTRANGE(""https://docs.google.com/spreadsheets/d/1ItG2mGa2ceCfYo0BwxsXqNm01IGEUdYcSSLTEv9YCik/edit?usp=sharing"",""เบิกจ่ายกองทุน!BD26"")"),0)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IFERROR(__xludf.DUMMYFUNCTION("IMPORTRANGE(""https://docs.google.com/spreadsheets/d/1-uDff_7J0KD5mKrp0Vvzr7lt3OU09vwQwhkpOPPYv2Y/edit?usp=sharing"",""งบพรบ!BT26"")"),0)</f>
        <v>0</v>
      </c>
      <c r="M148" s="230">
        <f ca="1">IFERROR(__xludf.DUMMYFUNCTION("IMPORTRANGE(""https://docs.google.com/spreadsheets/d/1-uDff_7J0KD5mKrp0Vvzr7lt3OU09vwQwhkpOPPYv2Y/edit?usp=sharing"",""งบพรบ!BW26"")"),0)</f>
        <v>0</v>
      </c>
      <c r="N148" s="230">
        <f ca="1">IFERROR(__xludf.DUMMYFUNCTION("IMPORTRANGE(""https://docs.google.com/spreadsheets/d/1-uDff_7J0KD5mKrp0Vvzr7lt3OU09vwQwhkpOPPYv2Y/edit?usp=sharing"",""งบพรบ!BY26"")"),0)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IFERROR(__xludf.DUMMYFUNCTION("IMPORTRANGE(""https://docs.google.com/spreadsheets/d/1eHaY18a8A9IcSdp1K8H6x8fbOy06t2VsZHhMHf-1x7Y/edit?usp=sharing"",""แผน!U26"")"),30)</f>
        <v>30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IFERROR(__xludf.DUMMYFUNCTION("IMPORTRANGE(""https://docs.google.com/spreadsheets/d/1eHaY18a8A9IcSdp1K8H6x8fbOy06t2VsZHhMHf-1x7Y/edit?usp=sharing"",""แผน!V26"")"),3)</f>
        <v>3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IFERROR(__xludf.DUMMYFUNCTION("IMPORTRANGE(""https://docs.google.com/spreadsheets/d/1eHaY18a8A9IcSdp1K8H6x8fbOy06t2VsZHhMHf-1x7Y/edit?usp=sharing"",""แผน!W26"")"),40)</f>
        <v>40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IFERROR(__xludf.DUMMYFUNCTION("IMPORTRANGE(""https://docs.google.com/spreadsheets/d/1eHaY18a8A9IcSdp1K8H6x8fbOy06t2VsZHhMHf-1x7Y/edit?usp=sharing"",""แผน!X26"")"),4)</f>
        <v>4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IFERROR(__xludf.DUMMYFUNCTION("IMPORTRANGE(""https://docs.google.com/spreadsheets/d/1eHaY18a8A9IcSdp1K8H6x8fbOy06t2VsZHhMHf-1x7Y/edit?usp=sharing"",""แผน!Y26"")"),3)</f>
        <v>3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I170</f>
        <v>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0</v>
      </c>
      <c r="M158" s="515">
        <f t="shared" ca="1" si="104"/>
        <v>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0</v>
      </c>
      <c r="M160" s="230">
        <f t="shared" ca="1" si="110"/>
        <v>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0</v>
      </c>
      <c r="M161" s="230">
        <f t="shared" ca="1" si="112"/>
        <v>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IFERROR(__xludf.DUMMYFUNCTION("IMPORTRANGE(""https://docs.google.com/spreadsheets/d/1-uDff_7J0KD5mKrp0Vvzr7lt3OU09vwQwhkpOPPYv2Y/edit?usp=sharing"",""งบพรบ!CA26"")"),0)</f>
        <v>0</v>
      </c>
      <c r="M163" s="230">
        <f ca="1">IFERROR(__xludf.DUMMYFUNCTION("IMPORTRANGE(""https://docs.google.com/spreadsheets/d/1-uDff_7J0KD5mKrp0Vvzr7lt3OU09vwQwhkpOPPYv2Y/edit?usp=sharing"",""งบพรบ!CF26"")"),0)</f>
        <v>0</v>
      </c>
      <c r="N163" s="230">
        <f ca="1">IFERROR(__xludf.DUMMYFUNCTION("IMPORTRANGE(""https://docs.google.com/spreadsheets/d/1-uDff_7J0KD5mKrp0Vvzr7lt3OU09vwQwhkpOPPYv2Y/edit?usp=sharing"",""งบพรบ!CH26"")"),0)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IFERROR(__xludf.DUMMYFUNCTION("IMPORTRANGE(""https://docs.google.com/spreadsheets/d/1ItG2mGa2ceCfYo0BwxsXqNm01IGEUdYcSSLTEv9YCik/edit?usp=sharing"",""เบิกจ่ายกองทุน!AG26"")"),0)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IFERROR(__xludf.DUMMYFUNCTION("IMPORTRANGE(""https://docs.google.com/spreadsheets/d/1ItG2mGa2ceCfYo0BwxsXqNm01IGEUdYcSSLTEv9YCik/edit?usp=sharing"",""เบิกจ่ายกองทุน!AH26"")"),0)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IFERROR(__xludf.DUMMYFUNCTION("IMPORTRANGE(""https://docs.google.com/spreadsheets/d/1ItG2mGa2ceCfYo0BwxsXqNm01IGEUdYcSSLTEv9YCik/edit?usp=sharing"",""เบิกจ่ายกองทุน!AI26"")"),0)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IFERROR(__xludf.DUMMYFUNCTION("IMPORTRANGE(""https://docs.google.com/spreadsheets/d/1-uDff_7J0KD5mKrp0Vvzr7lt3OU09vwQwhkpOPPYv2Y/edit?usp=sharing"",""งบพรบ!CD26"")"),0)</f>
        <v>0</v>
      </c>
      <c r="M166" s="230">
        <f ca="1">IFERROR(__xludf.DUMMYFUNCTION("IMPORTRANGE(""https://docs.google.com/spreadsheets/d/1-uDff_7J0KD5mKrp0Vvzr7lt3OU09vwQwhkpOPPYv2Y/edit?usp=sharing"",""งบพรบ!CG26"")"),0)</f>
        <v>0</v>
      </c>
      <c r="N166" s="230">
        <f ca="1">IFERROR(__xludf.DUMMYFUNCTION("IMPORTRANGE(""https://docs.google.com/spreadsheets/d/1-uDff_7J0KD5mKrp0Vvzr7lt3OU09vwQwhkpOPPYv2Y/edit?usp=sharing"",""งบพรบ!CI26"")"),0)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IFERROR(__xludf.DUMMYFUNCTION("IMPORTRANGE(""https://docs.google.com/spreadsheets/d/1eHaY18a8A9IcSdp1K8H6x8fbOy06t2VsZHhMHf-1x7Y/edit?usp=sharing"",""แผน!Z26"")"),0)</f>
        <v>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IFERROR(__xludf.DUMMYFUNCTION("IMPORTRANGE(""https://docs.google.com/spreadsheets/d/1eHaY18a8A9IcSdp1K8H6x8fbOy06t2VsZHhMHf-1x7Y/edit?usp=sharing"",""แผน!Z26"")"),0)</f>
        <v>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IFERROR(__xludf.DUMMYFUNCTION("IMPORTRANGE(""https://docs.google.com/spreadsheets/d/1eHaY18a8A9IcSdp1K8H6x8fbOy06t2VsZHhMHf-1x7Y/edit?usp=sharing"",""แผน!Z26"")"),0)</f>
        <v>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142570</v>
      </c>
      <c r="N174" s="515">
        <f t="shared" ca="1" si="118"/>
        <v>95530</v>
      </c>
      <c r="O174" s="515">
        <f t="shared" ref="O174:O182" ca="1" si="119">IF(L174&gt;0,N174*100/L174,0)</f>
        <v>487.64675855028077</v>
      </c>
      <c r="P174" s="515">
        <f t="shared" ref="P174:P182" ca="1" si="120">IF(M174&gt;0,N174*100/M174,0)</f>
        <v>67.005681419653499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142570</v>
      </c>
      <c r="N176" s="230">
        <f t="shared" ca="1" si="124"/>
        <v>95530</v>
      </c>
      <c r="O176" s="230">
        <f t="shared" ca="1" si="119"/>
        <v>487.64675855028077</v>
      </c>
      <c r="P176" s="230">
        <f t="shared" ca="1" si="120"/>
        <v>67.005681419653499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142570</v>
      </c>
      <c r="N177" s="230">
        <f t="shared" ca="1" si="126"/>
        <v>95530</v>
      </c>
      <c r="O177" s="230">
        <f t="shared" ca="1" si="119"/>
        <v>487.64675855028077</v>
      </c>
      <c r="P177" s="230">
        <f t="shared" ca="1" si="120"/>
        <v>67.005681419653499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IFERROR(__xludf.DUMMYFUNCTION("IMPORTRANGE(""https://docs.google.com/spreadsheets/d/1-uDff_7J0KD5mKrp0Vvzr7lt3OU09vwQwhkpOPPYv2Y/edit?usp=sharing"",""งบพรบ!CK26"")"),19590)</f>
        <v>19590</v>
      </c>
      <c r="M179" s="230">
        <f ca="1">IFERROR(__xludf.DUMMYFUNCTION("IMPORTRANGE(""https://docs.google.com/spreadsheets/d/1-uDff_7J0KD5mKrp0Vvzr7lt3OU09vwQwhkpOPPYv2Y/edit?usp=sharing"",""งบพรบ!CP26"")"),142570)</f>
        <v>142570</v>
      </c>
      <c r="N179" s="230">
        <f ca="1">IFERROR(__xludf.DUMMYFUNCTION("IMPORTRANGE(""https://docs.google.com/spreadsheets/d/1-uDff_7J0KD5mKrp0Vvzr7lt3OU09vwQwhkpOPPYv2Y/edit?usp=sharing"",""งบพรบ!CR26"")"),95530)</f>
        <v>95530</v>
      </c>
      <c r="O179" s="230">
        <f t="shared" ca="1" si="119"/>
        <v>487.64675855028077</v>
      </c>
      <c r="P179" s="230">
        <f t="shared" ca="1" si="120"/>
        <v>67.005681419653499</v>
      </c>
      <c r="Q179" s="230">
        <f ca="1">IFERROR(__xludf.DUMMYFUNCTION("IMPORTRANGE(""https://docs.google.com/spreadsheets/d/1ItG2mGa2ceCfYo0BwxsXqNm01IGEUdYcSSLTEv9YCik/edit?usp=sharing"",""เบิกจ่ายกองทุน!BE26"")"),0)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IFERROR(__xludf.DUMMYFUNCTION("IMPORTRANGE(""https://docs.google.com/spreadsheets/d/1ItG2mGa2ceCfYo0BwxsXqNm01IGEUdYcSSLTEv9YCik/edit?usp=sharing"",""เบิกจ่ายกองทุน!BF26"")"),0)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IFERROR(__xludf.DUMMYFUNCTION("IMPORTRANGE(""https://docs.google.com/spreadsheets/d/1ItG2mGa2ceCfYo0BwxsXqNm01IGEUdYcSSLTEv9YCik/edit?usp=sharing"",""เบิกจ่ายกองทุน!BG26"")"),0)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IFERROR(__xludf.DUMMYFUNCTION("IMPORTRANGE(""https://docs.google.com/spreadsheets/d/1-uDff_7J0KD5mKrp0Vvzr7lt3OU09vwQwhkpOPPYv2Y/edit?usp=sharing"",""งบพรบ!CN26"")"),0)</f>
        <v>0</v>
      </c>
      <c r="M182" s="230">
        <f ca="1">IFERROR(__xludf.DUMMYFUNCTION("IMPORTRANGE(""https://docs.google.com/spreadsheets/d/1-uDff_7J0KD5mKrp0Vvzr7lt3OU09vwQwhkpOPPYv2Y/edit?usp=sharing"",""งบพรบ!CQ26"")"),0)</f>
        <v>0</v>
      </c>
      <c r="N182" s="230">
        <f ca="1">IFERROR(__xludf.DUMMYFUNCTION("IMPORTRANGE(""https://docs.google.com/spreadsheets/d/1-uDff_7J0KD5mKrp0Vvzr7lt3OU09vwQwhkpOPPYv2Y/edit?usp=sharing"",""งบพรบ!CS26"")"),0)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IFERROR(__xludf.DUMMYFUNCTION("IMPORTRANGE(""https://docs.google.com/spreadsheets/d/1eHaY18a8A9IcSdp1K8H6x8fbOy06t2VsZHhMHf-1x7Y/edit?usp=sharing"",""แผน!AA26"")"),7)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121500</v>
      </c>
      <c r="M187" s="515">
        <f t="shared" ca="1" si="132"/>
        <v>113500</v>
      </c>
      <c r="N187" s="515">
        <f t="shared" ca="1" si="132"/>
        <v>51133.34</v>
      </c>
      <c r="O187" s="515">
        <f t="shared" ref="O187:O195" ca="1" si="133">IF(L187&gt;0,N187*100/L187,0)</f>
        <v>42.08505349794239</v>
      </c>
      <c r="P187" s="515">
        <f t="shared" ref="P187:P195" ca="1" si="134">IF(M187&gt;0,N187*100/M187,0)</f>
        <v>45.051400881057269</v>
      </c>
      <c r="Q187" s="515">
        <f t="shared" ref="Q187:S187" ca="1" si="135">Q188+Q189</f>
        <v>28000</v>
      </c>
      <c r="R187" s="515">
        <f t="shared" ca="1" si="135"/>
        <v>28000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121500</v>
      </c>
      <c r="M189" s="230">
        <f t="shared" ca="1" si="138"/>
        <v>113500</v>
      </c>
      <c r="N189" s="230">
        <f t="shared" ca="1" si="138"/>
        <v>51133.34</v>
      </c>
      <c r="O189" s="230">
        <f t="shared" ca="1" si="133"/>
        <v>42.08505349794239</v>
      </c>
      <c r="P189" s="230">
        <f t="shared" ca="1" si="134"/>
        <v>45.051400881057269</v>
      </c>
      <c r="Q189" s="230">
        <f t="shared" ca="1" si="139"/>
        <v>28000</v>
      </c>
      <c r="R189" s="230">
        <f t="shared" ca="1" si="139"/>
        <v>28000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121500</v>
      </c>
      <c r="M190" s="230">
        <f t="shared" ca="1" si="140"/>
        <v>113500</v>
      </c>
      <c r="N190" s="230">
        <f t="shared" ca="1" si="140"/>
        <v>51133.34</v>
      </c>
      <c r="O190" s="230">
        <f t="shared" ca="1" si="133"/>
        <v>42.08505349794239</v>
      </c>
      <c r="P190" s="230">
        <f t="shared" ca="1" si="134"/>
        <v>45.051400881057269</v>
      </c>
      <c r="Q190" s="230">
        <f t="shared" ref="Q190:S190" ca="1" si="141">Q191+Q192</f>
        <v>28000</v>
      </c>
      <c r="R190" s="230">
        <f t="shared" ca="1" si="141"/>
        <v>28000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IFERROR(__xludf.DUMMYFUNCTION("IMPORTRANGE(""https://docs.google.com/spreadsheets/d/1-uDff_7J0KD5mKrp0Vvzr7lt3OU09vwQwhkpOPPYv2Y/edit?usp=sharing"",""งบพรบ!CU26"")"),121500)</f>
        <v>121500</v>
      </c>
      <c r="M192" s="230">
        <f ca="1">IFERROR(__xludf.DUMMYFUNCTION("IMPORTRANGE(""https://docs.google.com/spreadsheets/d/1-uDff_7J0KD5mKrp0Vvzr7lt3OU09vwQwhkpOPPYv2Y/edit?usp=sharing"",""งบพรบ!CZ26"")"),113500)</f>
        <v>113500</v>
      </c>
      <c r="N192" s="230">
        <f ca="1">IFERROR(__xludf.DUMMYFUNCTION("IMPORTRANGE(""https://docs.google.com/spreadsheets/d/1-uDff_7J0KD5mKrp0Vvzr7lt3OU09vwQwhkpOPPYv2Y/edit?usp=sharing"",""งบพรบ!DB26"")"),51133.34)</f>
        <v>51133.34</v>
      </c>
      <c r="O192" s="230">
        <f t="shared" ca="1" si="133"/>
        <v>42.08505349794239</v>
      </c>
      <c r="P192" s="230">
        <f t="shared" ca="1" si="134"/>
        <v>45.051400881057269</v>
      </c>
      <c r="Q192" s="230">
        <f ca="1">IFERROR(__xludf.DUMMYFUNCTION("IMPORTRANGE(""https://docs.google.com/spreadsheets/d/1ItG2mGa2ceCfYo0BwxsXqNm01IGEUdYcSSLTEv9YCik/edit?usp=sharing"",""เบิกจ่ายกองทุน!AV26"")"),28000)</f>
        <v>28000</v>
      </c>
      <c r="R192" s="230">
        <f ca="1">IFERROR(__xludf.DUMMYFUNCTION("IMPORTRANGE(""https://docs.google.com/spreadsheets/d/1ItG2mGa2ceCfYo0BwxsXqNm01IGEUdYcSSLTEv9YCik/edit?usp=sharing"",""เบิกจ่ายกองทุน!AW26"")"),28000)</f>
        <v>28000</v>
      </c>
      <c r="S192" s="230">
        <f ca="1">IFERROR(__xludf.DUMMYFUNCTION("IMPORTRANGE(""https://docs.google.com/spreadsheets/d/1ItG2mGa2ceCfYo0BwxsXqNm01IGEUdYcSSLTEv9YCik/edit?usp=sharing"",""เบิกจ่ายกองทุน!AX26"")"),0)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IFERROR(__xludf.DUMMYFUNCTION("IMPORTRANGE(""https://docs.google.com/spreadsheets/d/1-uDff_7J0KD5mKrp0Vvzr7lt3OU09vwQwhkpOPPYv2Y/edit?usp=sharing"",""งบพรบ!CX26"")"),0)</f>
        <v>0</v>
      </c>
      <c r="M195" s="230">
        <f ca="1">IFERROR(__xludf.DUMMYFUNCTION("IMPORTRANGE(""https://docs.google.com/spreadsheets/d/1-uDff_7J0KD5mKrp0Vvzr7lt3OU09vwQwhkpOPPYv2Y/edit?usp=sharing"",""งบพรบ!DA26"")"),0)</f>
        <v>0</v>
      </c>
      <c r="N195" s="230">
        <f ca="1">IFERROR(__xludf.DUMMYFUNCTION("IMPORTRANGE(""https://docs.google.com/spreadsheets/d/1-uDff_7J0KD5mKrp0Vvzr7lt3OU09vwQwhkpOPPYv2Y/edit?usp=sharing"",""งบพรบ!DC26"")"),0)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2</v>
      </c>
      <c r="K196" s="314">
        <f ca="1">IF(I196&gt;0,J196*100/I196,0)</f>
        <v>50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IFERROR(__xludf.DUMMYFUNCTION("IMPORTRANGE(""https://docs.google.com/spreadsheets/d/1eHaY18a8A9IcSdp1K8H6x8fbOy06t2VsZHhMHf-1x7Y/edit?usp=sharing"",""แผน!AB26"")"),6000)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IFERROR(__xludf.DUMMYFUNCTION("IMPORTRANGE(""https://docs.google.com/spreadsheets/d/1eHaY18a8A9IcSdp1K8H6x8fbOy06t2VsZHhMHf-1x7Y/edit?usp=sharing"",""แผน!AE26"")"),4)</f>
        <v>4</v>
      </c>
      <c r="J199" s="520">
        <v>2</v>
      </c>
      <c r="K199" s="230">
        <f ca="1">IF(I199&gt;0,J199*100/I199,0)</f>
        <v>50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50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50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1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16000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IFERROR(__xludf.DUMMYFUNCTION("IMPORTRANGE(""https://docs.google.com/spreadsheets/d/1eHaY18a8A9IcSdp1K8H6x8fbOy06t2VsZHhMHf-1x7Y/edit?usp=sharing"",""แผน!AG26"")"),1000)</f>
        <v>1000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IFERROR(__xludf.DUMMYFUNCTION("IMPORTRANGE(""https://docs.google.com/spreadsheets/d/1eHaY18a8A9IcSdp1K8H6x8fbOy06t2VsZHhMHf-1x7Y/edit?usp=sharing"",""แผน!AH26"")"),0)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IFERROR(__xludf.DUMMYFUNCTION("IMPORTRANGE(""https://docs.google.com/spreadsheets/d/1eHaY18a8A9IcSdp1K8H6x8fbOy06t2VsZHhMHf-1x7Y/edit?usp=sharing"",""แผน!AI26"")"),8000)</f>
        <v>8000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IFERROR(__xludf.DUMMYFUNCTION("IMPORTRANGE(""https://docs.google.com/spreadsheets/d/1eHaY18a8A9IcSdp1K8H6x8fbOy06t2VsZHhMHf-1x7Y/edit?usp=sharing"",""แผน!AJ26"")"),7000)</f>
        <v>7000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IFERROR(__xludf.DUMMYFUNCTION("IMPORTRANGE(""https://docs.google.com/spreadsheets/d/1eHaY18a8A9IcSdp1K8H6x8fbOy06t2VsZHhMHf-1x7Y/edit?usp=sharing"",""แผน!AK26"")"),1)</f>
        <v>1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IFERROR(__xludf.DUMMYFUNCTION("IMPORTRANGE(""https://docs.google.com/spreadsheets/d/1eHaY18a8A9IcSdp1K8H6x8fbOy06t2VsZHhMHf-1x7Y/edit?usp=sharing"",""แผน!JX26"")"),1)</f>
        <v>1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IFERROR(__xludf.DUMMYFUNCTION("IMPORTRANGE(""https://docs.google.com/spreadsheets/d/1eHaY18a8A9IcSdp1K8H6x8fbOy06t2VsZHhMHf-1x7Y/edit?usp=sharing"",""แผน!JY26"")"),1)</f>
        <v>1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IFERROR(__xludf.DUMMYFUNCTION("IMPORTRANGE(""https://docs.google.com/spreadsheets/d/1eHaY18a8A9IcSdp1K8H6x8fbOy06t2VsZHhMHf-1x7Y/edit?usp=sharing"",""แผน!AM26"")"),0)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IFERROR(__xludf.DUMMYFUNCTION("IMPORTRANGE(""https://docs.google.com/spreadsheets/d/1eHaY18a8A9IcSdp1K8H6x8fbOy06t2VsZHhMHf-1x7Y/edit?usp=sharing"",""แผน!AN26"")"),0)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IFERROR(__xludf.DUMMYFUNCTION("IMPORTRANGE(""https://docs.google.com/spreadsheets/d/1eHaY18a8A9IcSdp1K8H6x8fbOy06t2VsZHhMHf-1x7Y/edit?usp=sharing"",""แผน!AO26"")"),0)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IFERROR(__xludf.DUMMYFUNCTION("IMPORTRANGE(""https://docs.google.com/spreadsheets/d/1eHaY18a8A9IcSdp1K8H6x8fbOy06t2VsZHhMHf-1x7Y/edit?usp=sharing"",""แผน!AP26"")"),0)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IFERROR(__xludf.DUMMYFUNCTION("IMPORTRANGE(""https://docs.google.com/spreadsheets/d/1eHaY18a8A9IcSdp1K8H6x8fbOy06t2VsZHhMHf-1x7Y/edit?usp=sharing"",""แผน!AP26"")"),0)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50000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IFERROR(__xludf.DUMMYFUNCTION("IMPORTRANGE(""https://docs.google.com/spreadsheets/d/1eHaY18a8A9IcSdp1K8H6x8fbOy06t2VsZHhMHf-1x7Y/edit?usp=sharing"",""แผน!AR26"")"),7000)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IFERROR(__xludf.DUMMYFUNCTION("IMPORTRANGE(""https://docs.google.com/spreadsheets/d/1eHaY18a8A9IcSdp1K8H6x8fbOy06t2VsZHhMHf-1x7Y/edit?usp=sharing"",""แผน!AS26"")"),1500)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IFERROR(__xludf.DUMMYFUNCTION("IMPORTRANGE(""https://docs.google.com/spreadsheets/d/1eHaY18a8A9IcSdp1K8H6x8fbOy06t2VsZHhMHf-1x7Y/edit?usp=sharing"",""แผน!AT26"")"),0)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IFERROR(__xludf.DUMMYFUNCTION("IMPORTRANGE(""https://docs.google.com/spreadsheets/d/1eHaY18a8A9IcSdp1K8H6x8fbOy06t2VsZHhMHf-1x7Y/edit?usp=sharing"",""แผน!AV26"")"),50000)</f>
        <v>50000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IFERROR(__xludf.DUMMYFUNCTION("IMPORTRANGE(""https://docs.google.com/spreadsheets/d/1eHaY18a8A9IcSdp1K8H6x8fbOy06t2VsZHhMHf-1x7Y/edit?usp=sharing"",""แผน!AV26"")"),50000)</f>
        <v>50000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IFERROR(__xludf.DUMMYFUNCTION("IMPORTRANGE(""https://docs.google.com/spreadsheets/d/1eHaY18a8A9IcSdp1K8H6x8fbOy06t2VsZHhMHf-1x7Y/edit?usp=sharing"",""แผน!AU26"")"),0)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IFERROR(__xludf.DUMMYFUNCTION("IMPORTRANGE(""https://docs.google.com/spreadsheets/d/1eHaY18a8A9IcSdp1K8H6x8fbOy06t2VsZHhMHf-1x7Y/edit?usp=sharing"",""แผน!AX26"")"),0)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IFERROR(__xludf.DUMMYFUNCTION("IMPORTRANGE(""https://docs.google.com/spreadsheets/d/1eHaY18a8A9IcSdp1K8H6x8fbOy06t2VsZHhMHf-1x7Y/edit?usp=sharing"",""แผน!AY26"")"),0)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IFERROR(__xludf.DUMMYFUNCTION("IMPORTRANGE(""https://docs.google.com/spreadsheets/d/1eHaY18a8A9IcSdp1K8H6x8fbOy06t2VsZHhMHf-1x7Y/edit?usp=sharing"",""แผน!AZ26"")"),0)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IFERROR(__xludf.DUMMYFUNCTION("IMPORTRANGE(""https://docs.google.com/spreadsheets/d/1eHaY18a8A9IcSdp1K8H6x8fbOy06t2VsZHhMHf-1x7Y/edit?usp=sharing"",""แผน!BA26"")"),0)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IFERROR(__xludf.DUMMYFUNCTION("IMPORTRANGE(""https://docs.google.com/spreadsheets/d/1eHaY18a8A9IcSdp1K8H6x8fbOy06t2VsZHhMHf-1x7Y/edit?usp=sharing"",""แผน!BG26"")"),0)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IFERROR(__xludf.DUMMYFUNCTION("IMPORTRANGE(""https://docs.google.com/spreadsheets/d/1eHaY18a8A9IcSdp1K8H6x8fbOy06t2VsZHhMHf-1x7Y/edit?usp=sharing"",""แผน!BB26"")"),0)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IFERROR(__xludf.DUMMYFUNCTION("IMPORTRANGE(""https://docs.google.com/spreadsheets/d/1eHaY18a8A9IcSdp1K8H6x8fbOy06t2VsZHhMHf-1x7Y/edit?usp=sharing"",""แผน!BC26"")"),0)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IFERROR(__xludf.DUMMYFUNCTION("IMPORTRANGE(""https://docs.google.com/spreadsheets/d/1eHaY18a8A9IcSdp1K8H6x8fbOy06t2VsZHhMHf-1x7Y/edit?usp=sharing"",""แผน!BD26"")"),0)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IFERROR(__xludf.DUMMYFUNCTION("IMPORTRANGE(""https://docs.google.com/spreadsheets/d/1eHaY18a8A9IcSdp1K8H6x8fbOy06t2VsZHhMHf-1x7Y/edit?usp=sharing"",""แผน!BE26"")"),0)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IFERROR(__xludf.DUMMYFUNCTION("IMPORTRANGE(""https://docs.google.com/spreadsheets/d/1eHaY18a8A9IcSdp1K8H6x8fbOy06t2VsZHhMHf-1x7Y/edit?usp=sharing"",""แผน!BH26"")"),0)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22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50660</v>
      </c>
      <c r="R267" s="583">
        <f t="shared" ca="1" si="165"/>
        <v>50660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50660</v>
      </c>
      <c r="R269" s="592">
        <f t="shared" ca="1" si="169"/>
        <v>50660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50660</v>
      </c>
      <c r="R270" s="592">
        <f t="shared" ca="1" si="171"/>
        <v>50660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IFERROR(__xludf.DUMMYFUNCTION("IMPORTRANGE(""https://docs.google.com/spreadsheets/d/1-uDff_7J0KD5mKrp0Vvzr7lt3OU09vwQwhkpOPPYv2Y/edit?usp=sharing"",""งบพรบ!DE26"")"),0)</f>
        <v>0</v>
      </c>
      <c r="M272" s="592">
        <f ca="1">IFERROR(__xludf.DUMMYFUNCTION("IMPORTRANGE(""https://docs.google.com/spreadsheets/d/1-uDff_7J0KD5mKrp0Vvzr7lt3OU09vwQwhkpOPPYv2Y/edit?usp=sharing"",""งบพรบ!DJ26"")"),5000)</f>
        <v>5000</v>
      </c>
      <c r="N272" s="592">
        <f ca="1">IFERROR(__xludf.DUMMYFUNCTION("IMPORTRANGE(""https://docs.google.com/spreadsheets/d/1-uDff_7J0KD5mKrp0Vvzr7lt3OU09vwQwhkpOPPYv2Y/edit?usp=sharing"",""งบพรบ!DL26"")"),0)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IFERROR(__xludf.DUMMYFUNCTION("IMPORTRANGE(""https://docs.google.com/spreadsheets/d/1ItG2mGa2ceCfYo0BwxsXqNm01IGEUdYcSSLTEv9YCik/edit?usp=sharing"",""เบิกจ่ายกองทุน!AJ26"")"),50660)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IFERROR(__xludf.DUMMYFUNCTION("IMPORTRANGE(""https://docs.google.com/spreadsheets/d/1ItG2mGa2ceCfYo0BwxsXqNm01IGEUdYcSSLTEv9YCik/edit?usp=sharing"",""เบิกจ่ายกองทุน!AK26"")"),50660)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IFERROR(__xludf.DUMMYFUNCTION("IMPORTRANGE(""https://docs.google.com/spreadsheets/d/1ItG2mGa2ceCfYo0BwxsXqNm01IGEUdYcSSLTEv9YCik/edit?usp=sharing"",""เบิกจ่ายกองทุน!AL26"")"),0)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IFERROR(__xludf.DUMMYFUNCTION("IMPORTRANGE(""https://docs.google.com/spreadsheets/d/1-uDff_7J0KD5mKrp0Vvzr7lt3OU09vwQwhkpOPPYv2Y/edit?usp=sharing"",""งบพรบ!DH26"")"),0)</f>
        <v>0</v>
      </c>
      <c r="M275" s="592">
        <f ca="1">IFERROR(__xludf.DUMMYFUNCTION("IMPORTRANGE(""https://docs.google.com/spreadsheets/d/1-uDff_7J0KD5mKrp0Vvzr7lt3OU09vwQwhkpOPPYv2Y/edit?usp=sharing"",""งบพรบ!DK26"")"),0)</f>
        <v>0</v>
      </c>
      <c r="N275" s="592">
        <f ca="1">IFERROR(__xludf.DUMMYFUNCTION("IMPORTRANGE(""https://docs.google.com/spreadsheets/d/1-uDff_7J0KD5mKrp0Vvzr7lt3OU09vwQwhkpOPPYv2Y/edit?usp=sharing"",""งบพรบ!DM26"")"),0)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IFERROR(__xludf.DUMMYFUNCTION("IMPORTRANGE(""https://docs.google.com/spreadsheets/d/1eHaY18a8A9IcSdp1K8H6x8fbOy06t2VsZHhMHf-1x7Y/edit?usp=sharing"",""แผน!EC26"")"),22)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30</v>
      </c>
      <c r="J281" s="619">
        <f t="shared" si="174"/>
        <v>30</v>
      </c>
      <c r="K281" s="620">
        <f t="shared" ref="K281:K282" ca="1" si="175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300</v>
      </c>
      <c r="J282" s="619">
        <f t="shared" si="176"/>
        <v>300</v>
      </c>
      <c r="K282" s="620">
        <f t="shared" ca="1" si="175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85120</v>
      </c>
      <c r="M283" s="515">
        <f t="shared" ca="1" si="177"/>
        <v>85120</v>
      </c>
      <c r="N283" s="515">
        <f t="shared" ca="1" si="177"/>
        <v>65770</v>
      </c>
      <c r="O283" s="515">
        <f t="shared" ref="O283:O291" ca="1" si="178">IF(L283&gt;0,N283*100/L283,0)</f>
        <v>77.267387218045116</v>
      </c>
      <c r="P283" s="515">
        <f t="shared" ref="P283:P291" ca="1" si="179">IF(M283&gt;0,N283*100/M283,0)</f>
        <v>77.267387218045116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85120</v>
      </c>
      <c r="M285" s="230">
        <f t="shared" ca="1" si="183"/>
        <v>85120</v>
      </c>
      <c r="N285" s="230">
        <f t="shared" ca="1" si="183"/>
        <v>65770</v>
      </c>
      <c r="O285" s="230">
        <f t="shared" ca="1" si="178"/>
        <v>77.267387218045116</v>
      </c>
      <c r="P285" s="230">
        <f t="shared" ca="1" si="179"/>
        <v>77.267387218045116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85120</v>
      </c>
      <c r="M286" s="230">
        <f t="shared" ca="1" si="185"/>
        <v>85120</v>
      </c>
      <c r="N286" s="230">
        <f t="shared" ca="1" si="185"/>
        <v>65770</v>
      </c>
      <c r="O286" s="230">
        <f t="shared" ca="1" si="178"/>
        <v>77.267387218045116</v>
      </c>
      <c r="P286" s="230">
        <f t="shared" ca="1" si="179"/>
        <v>77.267387218045116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IFERROR(__xludf.DUMMYFUNCTION("IMPORTRANGE(""https://docs.google.com/spreadsheets/d/1-uDff_7J0KD5mKrp0Vvzr7lt3OU09vwQwhkpOPPYv2Y/edit?usp=sharing"",""งบพรบ!DO26"")"),85120)</f>
        <v>85120</v>
      </c>
      <c r="M288" s="230">
        <f ca="1">IFERROR(__xludf.DUMMYFUNCTION("IMPORTRANGE(""https://docs.google.com/spreadsheets/d/1-uDff_7J0KD5mKrp0Vvzr7lt3OU09vwQwhkpOPPYv2Y/edit?usp=sharing"",""งบพรบ!DT26"")"),85120)</f>
        <v>85120</v>
      </c>
      <c r="N288" s="230">
        <f ca="1">IFERROR(__xludf.DUMMYFUNCTION("IMPORTRANGE(""https://docs.google.com/spreadsheets/d/1-uDff_7J0KD5mKrp0Vvzr7lt3OU09vwQwhkpOPPYv2Y/edit?usp=sharing"",""งบพรบ!DV26"")"),65770)</f>
        <v>65770</v>
      </c>
      <c r="O288" s="230">
        <f t="shared" ca="1" si="178"/>
        <v>77.267387218045116</v>
      </c>
      <c r="P288" s="230">
        <f t="shared" ca="1" si="179"/>
        <v>77.267387218045116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IFERROR(__xludf.DUMMYFUNCTION("IMPORTRANGE(""https://docs.google.com/spreadsheets/d/1-uDff_7J0KD5mKrp0Vvzr7lt3OU09vwQwhkpOPPYv2Y/edit?usp=sharing"",""งบพรบ!DR26"")"),0)</f>
        <v>0</v>
      </c>
      <c r="M291" s="230">
        <f ca="1">IFERROR(__xludf.DUMMYFUNCTION("IMPORTRANGE(""https://docs.google.com/spreadsheets/d/1-uDff_7J0KD5mKrp0Vvzr7lt3OU09vwQwhkpOPPYv2Y/edit?usp=sharing"",""งบพรบ!DU26"")"),0)</f>
        <v>0</v>
      </c>
      <c r="N291" s="230">
        <f ca="1">IFERROR(__xludf.DUMMYFUNCTION("IMPORTRANGE(""https://docs.google.com/spreadsheets/d/1-uDff_7J0KD5mKrp0Vvzr7lt3OU09vwQwhkpOPPYv2Y/edit?usp=sharing"",""งบพรบ!DW26"")"),0)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IFERROR(__xludf.DUMMYFUNCTION("IMPORTRANGE(""https://docs.google.com/spreadsheets/d/1eHaY18a8A9IcSdp1K8H6x8fbOy06t2VsZHhMHf-1x7Y/edit?usp=sharing"",""แผน!EE26"")"),300)</f>
        <v>300</v>
      </c>
      <c r="J293" s="520">
        <v>300</v>
      </c>
      <c r="K293" s="521">
        <f t="shared" ref="K293:K294" ca="1" si="189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IFERROR(__xludf.DUMMYFUNCTION("IMPORTRANGE(""https://docs.google.com/spreadsheets/d/1eHaY18a8A9IcSdp1K8H6x8fbOy06t2VsZHhMHf-1x7Y/edit?usp=sharing"",""แผน!ED26"")"),30)</f>
        <v>30</v>
      </c>
      <c r="J294" s="340">
        <f>J297</f>
        <v>30</v>
      </c>
      <c r="K294" s="518">
        <f t="shared" ca="1" si="189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IFERROR(__xludf.DUMMYFUNCTION("IMPORTRANGE(""https://docs.google.com/spreadsheets/d/1eHaY18a8A9IcSdp1K8H6x8fbOy06t2VsZHhMHf-1x7Y/edit?usp=sharing"",""แผน!ED26"")"),30)</f>
        <v>30</v>
      </c>
      <c r="J296" s="520">
        <v>30</v>
      </c>
      <c r="K296" s="521">
        <f t="shared" ref="K296:K297" ca="1" si="190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IFERROR(__xludf.DUMMYFUNCTION("IMPORTRANGE(""https://docs.google.com/spreadsheets/d/1eHaY18a8A9IcSdp1K8H6x8fbOy06t2VsZHhMHf-1x7Y/edit?usp=sharing"",""แผน!ED26"")"),30)</f>
        <v>30</v>
      </c>
      <c r="J297" s="520">
        <v>30</v>
      </c>
      <c r="K297" s="521">
        <f t="shared" ca="1" si="190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30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260958.39</v>
      </c>
      <c r="R304" s="515">
        <f t="shared" ca="1" si="195"/>
        <v>260958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260958.39</v>
      </c>
      <c r="R306" s="230">
        <f t="shared" ca="1" si="199"/>
        <v>260958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260958.39</v>
      </c>
      <c r="R307" s="230">
        <f t="shared" ca="1" si="201"/>
        <v>260958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IFERROR(__xludf.DUMMYFUNCTION("IMPORTRANGE(""https://docs.google.com/spreadsheets/d/1-uDff_7J0KD5mKrp0Vvzr7lt3OU09vwQwhkpOPPYv2Y/edit?usp=sharing"",""งบพรบ!DY26"")"),0)</f>
        <v>0</v>
      </c>
      <c r="M309" s="230">
        <f ca="1">IFERROR(__xludf.DUMMYFUNCTION("IMPORTRANGE(""https://docs.google.com/spreadsheets/d/1-uDff_7J0KD5mKrp0Vvzr7lt3OU09vwQwhkpOPPYv2Y/edit?usp=sharing"",""งบพรบ!ED26"")"),0)</f>
        <v>0</v>
      </c>
      <c r="N309" s="230">
        <f ca="1">IFERROR(__xludf.DUMMYFUNCTION("IMPORTRANGE(""https://docs.google.com/spreadsheets/d/1-uDff_7J0KD5mKrp0Vvzr7lt3OU09vwQwhkpOPPYv2Y/edit?usp=sharing"",""งบพรบ!EF26"")"),0)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IFERROR(__xludf.DUMMYFUNCTION("IMPORTRANGE(""https://docs.google.com/spreadsheets/d/1ItG2mGa2ceCfYo0BwxsXqNm01IGEUdYcSSLTEv9YCik/edit?usp=sharing"",""เบิกจ่ายกองทุน!AP26"")"),260958.39)</f>
        <v>260958.39</v>
      </c>
      <c r="R309" s="230">
        <f ca="1">IFERROR(__xludf.DUMMYFUNCTION("IMPORTRANGE(""https://docs.google.com/spreadsheets/d/1ItG2mGa2ceCfYo0BwxsXqNm01IGEUdYcSSLTEv9YCik/edit?usp=sharing"",""เบิกจ่ายกองทุน!AQ26"")"),260958)</f>
        <v>260958</v>
      </c>
      <c r="S309" s="230">
        <f ca="1">IFERROR(__xludf.DUMMYFUNCTION("IMPORTRANGE(""https://docs.google.com/spreadsheets/d/1ItG2mGa2ceCfYo0BwxsXqNm01IGEUdYcSSLTEv9YCik/edit?usp=sharing"",""เบิกจ่ายกองทุน!AR26"")"),0)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IFERROR(__xludf.DUMMYFUNCTION("IMPORTRANGE(""https://docs.google.com/spreadsheets/d/1-uDff_7J0KD5mKrp0Vvzr7lt3OU09vwQwhkpOPPYv2Y/edit?usp=sharing"",""งบพรบ!EB26"")"),0)</f>
        <v>0</v>
      </c>
      <c r="M312" s="230">
        <f ca="1">IFERROR(__xludf.DUMMYFUNCTION("IMPORTRANGE(""https://docs.google.com/spreadsheets/d/1-uDff_7J0KD5mKrp0Vvzr7lt3OU09vwQwhkpOPPYv2Y/edit?usp=sharing"",""งบพรบ!EE26"")"),0)</f>
        <v>0</v>
      </c>
      <c r="N312" s="230">
        <f ca="1">IFERROR(__xludf.DUMMYFUNCTION("IMPORTRANGE(""https://docs.google.com/spreadsheets/d/1-uDff_7J0KD5mKrp0Vvzr7lt3OU09vwQwhkpOPPYv2Y/edit?usp=sharing"",""งบพรบ!EG26"")"),0)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IFERROR(__xludf.DUMMYFUNCTION("IMPORTRANGE(""https://docs.google.com/spreadsheets/d/1eHaY18a8A9IcSdp1K8H6x8fbOy06t2VsZHhMHf-1x7Y/edit?usp=sharing"",""แผน!EF26"")"),30)</f>
        <v>30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IFERROR(__xludf.DUMMYFUNCTION("IMPORTRANGE(""https://docs.google.com/spreadsheets/d/1-uDff_7J0KD5mKrp0Vvzr7lt3OU09vwQwhkpOPPYv2Y/edit?usp=sharing"",""งบพรบ!EI26"")"),0)</f>
        <v>0</v>
      </c>
      <c r="M326" s="230">
        <f ca="1">IFERROR(__xludf.DUMMYFUNCTION("IMPORTRANGE(""https://docs.google.com/spreadsheets/d/1-uDff_7J0KD5mKrp0Vvzr7lt3OU09vwQwhkpOPPYv2Y/edit?usp=sharing"",""งบพรบ!EN26"")"),0)</f>
        <v>0</v>
      </c>
      <c r="N326" s="230">
        <f ca="1">IFERROR(__xludf.DUMMYFUNCTION("IMPORTRANGE(""https://docs.google.com/spreadsheets/d/1-uDff_7J0KD5mKrp0Vvzr7lt3OU09vwQwhkpOPPYv2Y/edit?usp=sharing"",""งบพรบ!EP26"")"),0)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IFERROR(__xludf.DUMMYFUNCTION("IMPORTRANGE(""https://docs.google.com/spreadsheets/d/1-uDff_7J0KD5mKrp0Vvzr7lt3OU09vwQwhkpOPPYv2Y/edit?usp=sharing"",""งบพรบ!EL26"")"),0)</f>
        <v>0</v>
      </c>
      <c r="M329" s="230">
        <f ca="1">IFERROR(__xludf.DUMMYFUNCTION("IMPORTRANGE(""https://docs.google.com/spreadsheets/d/1-uDff_7J0KD5mKrp0Vvzr7lt3OU09vwQwhkpOPPYv2Y/edit?usp=sharing"",""งบพรบ!EO26"")"),0)</f>
        <v>0</v>
      </c>
      <c r="N329" s="230">
        <f ca="1">IFERROR(__xludf.DUMMYFUNCTION("IMPORTRANGE(""https://docs.google.com/spreadsheets/d/1-uDff_7J0KD5mKrp0Vvzr7lt3OU09vwQwhkpOPPYv2Y/edit?usp=sharing"",""งบพรบ!EQ26"")"),0)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IFERROR(__xludf.DUMMYFUNCTION("IMPORTRANGE(""https://docs.google.com/spreadsheets/d/1eHaY18a8A9IcSdp1K8H6x8fbOy06t2VsZHhMHf-1x7Y/edit?usp=sharing"",""แผน!EJ26"")"),0)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1340</v>
      </c>
      <c r="J333" s="635">
        <f ca="1">J345+J348+J349+J350+J354</f>
        <v>6313</v>
      </c>
      <c r="K333" s="636">
        <f ca="1">IF(I333&gt;0,J333*100/I333,0)</f>
        <v>471.1194029850746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110000</v>
      </c>
      <c r="M334" s="515">
        <f t="shared" ca="1" si="217"/>
        <v>115000</v>
      </c>
      <c r="N334" s="515">
        <f t="shared" ca="1" si="217"/>
        <v>66810</v>
      </c>
      <c r="O334" s="515">
        <f t="shared" ref="O334:O342" ca="1" si="218">IF(L334&gt;0,N334*100/L334,0)</f>
        <v>60.736363636363635</v>
      </c>
      <c r="P334" s="515">
        <f t="shared" ref="P334:P342" ca="1" si="219">IF(M334&gt;0,N334*100/M334,0)</f>
        <v>58.095652173913045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110000</v>
      </c>
      <c r="M336" s="230">
        <f t="shared" ca="1" si="223"/>
        <v>115000</v>
      </c>
      <c r="N336" s="230">
        <f t="shared" ca="1" si="223"/>
        <v>66810</v>
      </c>
      <c r="O336" s="230">
        <f t="shared" ca="1" si="218"/>
        <v>60.736363636363635</v>
      </c>
      <c r="P336" s="230">
        <f t="shared" ca="1" si="219"/>
        <v>58.095652173913045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110000</v>
      </c>
      <c r="M337" s="230">
        <f t="shared" ca="1" si="225"/>
        <v>115000</v>
      </c>
      <c r="N337" s="230">
        <f t="shared" ca="1" si="225"/>
        <v>66810</v>
      </c>
      <c r="O337" s="230">
        <f t="shared" ca="1" si="218"/>
        <v>60.736363636363635</v>
      </c>
      <c r="P337" s="230">
        <f t="shared" ca="1" si="219"/>
        <v>58.095652173913045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IFERROR(__xludf.DUMMYFUNCTION("IMPORTRANGE(""https://docs.google.com/spreadsheets/d/1-uDff_7J0KD5mKrp0Vvzr7lt3OU09vwQwhkpOPPYv2Y/edit?usp=sharing"",""งบพรบ!ES26"")"),110000)</f>
        <v>110000</v>
      </c>
      <c r="M339" s="230">
        <f ca="1">IFERROR(__xludf.DUMMYFUNCTION("IMPORTRANGE(""https://docs.google.com/spreadsheets/d/1-uDff_7J0KD5mKrp0Vvzr7lt3OU09vwQwhkpOPPYv2Y/edit?usp=sharing"",""งบพรบ!EX26"")"),115000)</f>
        <v>115000</v>
      </c>
      <c r="N339" s="230">
        <f ca="1">IFERROR(__xludf.DUMMYFUNCTION("IMPORTRANGE(""https://docs.google.com/spreadsheets/d/1-uDff_7J0KD5mKrp0Vvzr7lt3OU09vwQwhkpOPPYv2Y/edit?usp=sharing"",""งบพรบ!EZ26"")"),66810)</f>
        <v>66810</v>
      </c>
      <c r="O339" s="230">
        <f t="shared" ca="1" si="218"/>
        <v>60.736363636363635</v>
      </c>
      <c r="P339" s="230">
        <f t="shared" ca="1" si="219"/>
        <v>58.095652173913045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IFERROR(__xludf.DUMMYFUNCTION("IMPORTRANGE(""https://docs.google.com/spreadsheets/d/1-uDff_7J0KD5mKrp0Vvzr7lt3OU09vwQwhkpOPPYv2Y/edit?usp=sharing"",""งบพรบ!EV26"")"),0)</f>
        <v>0</v>
      </c>
      <c r="M342" s="230">
        <f ca="1">IFERROR(__xludf.DUMMYFUNCTION("IMPORTRANGE(""https://docs.google.com/spreadsheets/d/1-uDff_7J0KD5mKrp0Vvzr7lt3OU09vwQwhkpOPPYv2Y/edit?usp=sharing"",""งบพรบ!EY26"")"),0)</f>
        <v>0</v>
      </c>
      <c r="N342" s="230">
        <f ca="1">IFERROR(__xludf.DUMMYFUNCTION("IMPORTRANGE(""https://docs.google.com/spreadsheets/d/1-uDff_7J0KD5mKrp0Vvzr7lt3OU09vwQwhkpOPPYv2Y/edit?usp=sharing"",""งบพรบ!FA26"")"),0)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2818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IFERROR(__xludf.DUMMYFUNCTION("IMPORTRANGE(""https://docs.google.com/spreadsheets/d/1eHaY18a8A9IcSdp1K8H6x8fbOy06t2VsZHhMHf-1x7Y/edit?usp=sharing"",""แผน!EK26"")"),1340)</f>
        <v>1340</v>
      </c>
      <c r="J345" s="189">
        <f ca="1">IFERROR(__xludf.DUMMYFUNCTION("IMPORTRANGE(""https://docs.google.com/spreadsheets/d/1awYsYK3VOup2i3Pq_Yjnu8DRu_mYwSBnCR2QPthd0rU/edit?usp=sharing"",""ศูนย์ยกเว้นโฉนด!D26"")"),2687)</f>
        <v>2687</v>
      </c>
      <c r="K345" s="230">
        <f ca="1">IF(I345&gt;0,J345*100/I345,0)</f>
        <v>200.52238805970148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IFERROR(__xludf.DUMMYFUNCTION("IMPORTRANGE(""https://docs.google.com/spreadsheets/d/1eHaY18a8A9IcSdp1K8H6x8fbOy06t2VsZHhMHf-1x7Y/edit?usp=sharing"",""แผน!EL26"")"),5)</f>
        <v>5</v>
      </c>
      <c r="J347" s="189">
        <f ca="1">IFERROR(__xludf.DUMMYFUNCTION("IMPORTRANGE(""https://docs.google.com/spreadsheets/d/1awYsYK3VOup2i3Pq_Yjnu8DRu_mYwSBnCR2QPthd0rU/edit?usp=sharing"",""ศูนย์รวม!E26"")"),3)</f>
        <v>3</v>
      </c>
      <c r="K347" s="230">
        <f ca="1">IF(I347&gt;0,J347*100/I347,0)</f>
        <v>60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IFERROR(__xludf.DUMMYFUNCTION("IMPORTRANGE(""https://docs.google.com/spreadsheets/d/1awYsYK3VOup2i3Pq_Yjnu8DRu_mYwSBnCR2QPthd0rU/edit?usp=sharing"",""ศูนย์ยกเว้นโฉนด!G26"")"),3)</f>
        <v>3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IFERROR(__xludf.DUMMYFUNCTION("IMPORTRANGE(""https://docs.google.com/spreadsheets/d/1awYsYK3VOup2i3Pq_Yjnu8DRu_mYwSBnCR2QPthd0rU/edit?usp=sharing"",""ศูนย์ยกเว้นโฉนด!H26"")"),0)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5205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IFERROR(__xludf.DUMMYFUNCTION("IMPORTRANGE(""https://docs.google.com/spreadsheets/d/1awYsYK3VOup2i3Pq_Yjnu8DRu_mYwSBnCR2QPthd0rU/edit?usp=sharing"",""โฉนดM3!G26"")"),1710)</f>
        <v>1710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IFERROR(__xludf.DUMMYFUNCTION("IMPORTRANGE(""https://docs.google.com/spreadsheets/d/1awYsYK3VOup2i3Pq_Yjnu8DRu_mYwSBnCR2QPthd0rU/edit?usp=sharing"",""โฉนดM3!H26"")"),3495)</f>
        <v>3495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568695</v>
      </c>
      <c r="M357" s="515">
        <f t="shared" ca="1" si="229"/>
        <v>568695</v>
      </c>
      <c r="N357" s="515">
        <f t="shared" ca="1" si="229"/>
        <v>212040.07</v>
      </c>
      <c r="O357" s="515">
        <f t="shared" ref="O357:O365" ca="1" si="230">IF(L357&gt;0,N357*100/L357,0)</f>
        <v>37.285376168244838</v>
      </c>
      <c r="P357" s="515">
        <f t="shared" ref="P357:P365" ca="1" si="231">IF(M357&gt;0,N357*100/M357,0)</f>
        <v>37.285376168244838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568695</v>
      </c>
      <c r="M359" s="230">
        <f t="shared" ca="1" si="235"/>
        <v>568695</v>
      </c>
      <c r="N359" s="230">
        <f t="shared" ca="1" si="235"/>
        <v>212040.07</v>
      </c>
      <c r="O359" s="230">
        <f t="shared" ca="1" si="230"/>
        <v>37.285376168244838</v>
      </c>
      <c r="P359" s="230">
        <f t="shared" ca="1" si="231"/>
        <v>37.285376168244838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568695</v>
      </c>
      <c r="M360" s="230">
        <f t="shared" ca="1" si="237"/>
        <v>568695</v>
      </c>
      <c r="N360" s="230">
        <f t="shared" ca="1" si="237"/>
        <v>212040.07</v>
      </c>
      <c r="O360" s="230">
        <f t="shared" ca="1" si="230"/>
        <v>37.285376168244838</v>
      </c>
      <c r="P360" s="230">
        <f t="shared" ca="1" si="231"/>
        <v>37.285376168244838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IFERROR(__xludf.DUMMYFUNCTION("IMPORTRANGE(""https://docs.google.com/spreadsheets/d/1-uDff_7J0KD5mKrp0Vvzr7lt3OU09vwQwhkpOPPYv2Y/edit?usp=sharing"",""งบพรบ!FC26"")"),568695)</f>
        <v>568695</v>
      </c>
      <c r="M362" s="230">
        <f ca="1">IFERROR(__xludf.DUMMYFUNCTION("IMPORTRANGE(""https://docs.google.com/spreadsheets/d/1-uDff_7J0KD5mKrp0Vvzr7lt3OU09vwQwhkpOPPYv2Y/edit?usp=sharing"",""งบพรบ!FH26"")"),568695)</f>
        <v>568695</v>
      </c>
      <c r="N362" s="230">
        <f ca="1">IFERROR(__xludf.DUMMYFUNCTION("IMPORTRANGE(""https://docs.google.com/spreadsheets/d/1-uDff_7J0KD5mKrp0Vvzr7lt3OU09vwQwhkpOPPYv2Y/edit?usp=sharing"",""งบพรบ!FJ26"")"),212040.07)</f>
        <v>212040.07</v>
      </c>
      <c r="O362" s="230">
        <f t="shared" ca="1" si="230"/>
        <v>37.285376168244838</v>
      </c>
      <c r="P362" s="230">
        <f t="shared" ca="1" si="231"/>
        <v>37.285376168244838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IFERROR(__xludf.DUMMYFUNCTION("IMPORTRANGE(""https://docs.google.com/spreadsheets/d/1-uDff_7J0KD5mKrp0Vvzr7lt3OU09vwQwhkpOPPYv2Y/edit?usp=sharing"",""งบพรบ!FF26"")"),0)</f>
        <v>0</v>
      </c>
      <c r="M365" s="230">
        <f ca="1">IFERROR(__xludf.DUMMYFUNCTION("IMPORTRANGE(""https://docs.google.com/spreadsheets/d/1-uDff_7J0KD5mKrp0Vvzr7lt3OU09vwQwhkpOPPYv2Y/edit?usp=sharing"",""งบพรบ!FI26"")"),0)</f>
        <v>0</v>
      </c>
      <c r="N365" s="230">
        <f ca="1">IFERROR(__xludf.DUMMYFUNCTION("IMPORTRANGE(""https://docs.google.com/spreadsheets/d/1-uDff_7J0KD5mKrp0Vvzr7lt3OU09vwQwhkpOPPYv2Y/edit?usp=sharing"",""งบพรบ!FK26"")"),0)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303</v>
      </c>
      <c r="J366" s="313">
        <f t="shared" ca="1" si="241"/>
        <v>256</v>
      </c>
      <c r="K366" s="314">
        <f ca="1">IF(I366&gt;0,J366*100/I366,0)</f>
        <v>84.488448844884488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IFERROR(__xludf.DUMMYFUNCTION("IMPORTRANGE(""https://docs.google.com/spreadsheets/d/1tdoBKaGub7dwA3U6UFTqxio9LNnvDCQjHKmttSEBsFQ/edit?usp=sharing"",""จัดที่ดิน!AB26"")"),226)</f>
        <v>226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IFERROR(__xludf.DUMMYFUNCTION("IMPORTRANGE(""https://docs.google.com/spreadsheets/d/1eHaY18a8A9IcSdp1K8H6x8fbOy06t2VsZHhMHf-1x7Y/edit?usp=sharing"",""แผน!EW26"")"),2545)</f>
        <v>2545</v>
      </c>
      <c r="J369" s="646">
        <f ca="1">IFERROR(__xludf.DUMMYFUNCTION("IMPORTRANGE(""https://docs.google.com/spreadsheets/d/1tdoBKaGub7dwA3U6UFTqxio9LNnvDCQjHKmttSEBsFQ/edit?usp=sharing"",""จัดที่ดิน!AC26"")"),916.22)</f>
        <v>916.22</v>
      </c>
      <c r="K369" s="230">
        <f t="shared" ca="1" si="242"/>
        <v>36.000785854616893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IFERROR(__xludf.DUMMYFUNCTION("IMPORTRANGE(""https://docs.google.com/spreadsheets/d/1eHaY18a8A9IcSdp1K8H6x8fbOy06t2VsZHhMHf-1x7Y/edit?usp=sharing"",""แผน!EX26"")"),446)</f>
        <v>446</v>
      </c>
      <c r="J370" s="189">
        <f ca="1">IFERROR(__xludf.DUMMYFUNCTION("IMPORTRANGE(""https://docs.google.com/spreadsheets/d/1tdoBKaGub7dwA3U6UFTqxio9LNnvDCQjHKmttSEBsFQ/edit?usp=sharing"",""จัดที่ดิน!AD26"")"),310)</f>
        <v>310</v>
      </c>
      <c r="K370" s="230">
        <f t="shared" ca="1" si="242"/>
        <v>69.506726457399097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IFERROR(__xludf.DUMMYFUNCTION("IMPORTRANGE(""https://docs.google.com/spreadsheets/d/1tdoBKaGub7dwA3U6UFTqxio9LNnvDCQjHKmttSEBsFQ/edit?usp=sharing"",""จัดที่ดิน!AE26"")"),1556.01)</f>
        <v>1556.01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IFERROR(__xludf.DUMMYFUNCTION("IMPORTRANGE(""https://docs.google.com/spreadsheets/d/1eHaY18a8A9IcSdp1K8H6x8fbOy06t2VsZHhMHf-1x7Y/edit?usp=sharing"",""แผน!EY26"")"),303)</f>
        <v>303</v>
      </c>
      <c r="J372" s="189">
        <f ca="1">IFERROR(__xludf.DUMMYFUNCTION("IMPORTRANGE(""https://docs.google.com/spreadsheets/d/1tdoBKaGub7dwA3U6UFTqxio9LNnvDCQjHKmttSEBsFQ/edit?usp=sharing"",""จัดที่ดิน!AF26"")"),256)</f>
        <v>256</v>
      </c>
      <c r="K372" s="230">
        <f t="shared" ca="1" si="242"/>
        <v>84.488448844884488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IFERROR(__xludf.DUMMYFUNCTION("IMPORTRANGE(""https://docs.google.com/spreadsheets/d/1tdoBKaGub7dwA3U6UFTqxio9LNnvDCQjHKmttSEBsFQ/edit?usp=sharing"",""จัดที่ดิน!AG26"")"),1335.2)</f>
        <v>1335.2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I387+I389</f>
        <v>2000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125000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125000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125000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IFERROR(__xludf.DUMMYFUNCTION("IMPORTRANGE(""https://docs.google.com/spreadsheets/d/1ItG2mGa2ceCfYo0BwxsXqNm01IGEUdYcSSLTEv9YCik/edit?usp=sharing"",""เบิกจ่ายกองทุน!AY26"")"),125000)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IFERROR(__xludf.DUMMYFUNCTION("IMPORTRANGE(""https://docs.google.com/spreadsheets/d/1ItG2mGa2ceCfYo0BwxsXqNm01IGEUdYcSSLTEv9YCik/edit?usp=sharing"",""เบิกจ่ายกองทุน!AZ26"")"),0)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IFERROR(__xludf.DUMMYFUNCTION("IMPORTRANGE(""https://docs.google.com/spreadsheets/d/1ItG2mGa2ceCfYo0BwxsXqNm01IGEUdYcSSLTEv9YCik/edit?usp=sharing"",""เบิกจ่ายกองทุน!BA26"")"),0)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IFERROR(__xludf.DUMMYFUNCTION("IMPORTRANGE(""https://docs.google.com/spreadsheets/d/1w5rwWK1o49a35cNtocGL0gxDwhFSTZUQu90BiH9_zqM/edit?usp=sharing"",""RTK!H26"")"),0)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IFERROR(__xludf.DUMMYFUNCTION("IMPORTRANGE(""https://docs.google.com/spreadsheets/d/1w5rwWK1o49a35cNtocGL0gxDwhFSTZUQu90BiH9_zqM/edit?usp=sharing"",""RTK!G26"")"),2000)</f>
        <v>2000</v>
      </c>
      <c r="J387" s="189">
        <f ca="1">IFERROR(__xludf.DUMMYFUNCTION("IMPORTRANGE(""https://docs.google.com/spreadsheets/d/1w5rwWK1o49a35cNtocGL0gxDwhFSTZUQu90BiH9_zqM/edit?usp=sharing"",""RTK!I26"")"),0)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IFERROR(__xludf.DUMMYFUNCTION("IMPORTRANGE(""https://docs.google.com/spreadsheets/d/1w5rwWK1o49a35cNtocGL0gxDwhFSTZUQu90BiH9_zqM/edit?usp=sharing"",""RTK!L26"")"),0)</f>
        <v>0</v>
      </c>
      <c r="K388" s="592">
        <f t="shared" si="256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IFERROR(__xludf.DUMMYFUNCTION("IMPORTRANGE(""https://docs.google.com/spreadsheets/d/1w5rwWK1o49a35cNtocGL0gxDwhFSTZUQu90BiH9_zqM/edit?usp=sharing"",""RTK!K26"")"),0)</f>
        <v>0</v>
      </c>
      <c r="J389" s="661">
        <f ca="1">IFERROR(__xludf.DUMMYFUNCTION("IMPORTRANGE(""https://docs.google.com/spreadsheets/d/1w5rwWK1o49a35cNtocGL0gxDwhFSTZUQu90BiH9_zqM/edit?usp=sharing"",""RTK!M26"")"),0)</f>
        <v>0</v>
      </c>
      <c r="K389" s="592">
        <f t="shared" ca="1" si="256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IFERROR(__xludf.DUMMYFUNCTION("IMPORTRANGE(""https://docs.google.com/spreadsheets/d/1ItG2mGa2ceCfYo0BwxsXqNm01IGEUdYcSSLTEv9YCik/edit?usp=sharing"",""เบิกจ่ายกองทุน!BH26"")"),0)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IFERROR(__xludf.DUMMYFUNCTION("IMPORTRANGE(""https://docs.google.com/spreadsheets/d/1ItG2mGa2ceCfYo0BwxsXqNm01IGEUdYcSSLTEv9YCik/edit?usp=sharing"",""เบิกจ่ายกองทุน!BI26"")"),0)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IFERROR(__xludf.DUMMYFUNCTION("IMPORTRANGE(""https://docs.google.com/spreadsheets/d/1ItG2mGa2ceCfYo0BwxsXqNm01IGEUdYcSSLTEv9YCik/edit?usp=sharing"",""เบิกจ่ายกองทุน!BJ26"")"),0)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IFERROR(__xludf.DUMMYFUNCTION("IMPORTRANGE(""https://docs.google.com/spreadsheets/d/1eHaY18a8A9IcSdp1K8H6x8fbOy06t2VsZHhMHf-1x7Y/edit?usp=sharing"",""แผน!HJ26"")"),0)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IFERROR(__xludf.DUMMYFUNCTION("IMPORTRANGE(""https://docs.google.com/spreadsheets/d/1eHaY18a8A9IcSdp1K8H6x8fbOy06t2VsZHhMHf-1x7Y/edit?usp=sharing"",""แผน!HK26"")"),0)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IFERROR(__xludf.DUMMYFUNCTION("IMPORTRANGE(""https://docs.google.com/spreadsheets/d/1eHaY18a8A9IcSdp1K8H6x8fbOy06t2VsZHhMHf-1x7Y/edit?usp=sharing"",""แผน!HJ26"")"),0)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IFERROR(__xludf.DUMMYFUNCTION("IMPORTRANGE(""https://docs.google.com/spreadsheets/d/1eHaY18a8A9IcSdp1K8H6x8fbOy06t2VsZHhMHf-1x7Y/edit?usp=sharing"",""แผน!HK26"")"),0)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IFERROR(__xludf.DUMMYFUNCTION("IMPORTRANGE(""https://docs.google.com/spreadsheets/d/1eHaY18a8A9IcSdp1K8H6x8fbOy06t2VsZHhMHf-1x7Y/edit?usp=sharing"",""แผน!HJ26"")"),0)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IFERROR(__xludf.DUMMYFUNCTION("IMPORTRANGE(""https://docs.google.com/spreadsheets/d/1eHaY18a8A9IcSdp1K8H6x8fbOy06t2VsZHhMHf-1x7Y/edit?usp=sharing"",""แผน!HK26"")"),0)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IFERROR(__xludf.DUMMYFUNCTION("IMPORTRANGE(""https://docs.google.com/spreadsheets/d/1eHaY18a8A9IcSdp1K8H6x8fbOy06t2VsZHhMHf-1x7Y/edit?usp=sharing"",""แผน!HL26"")"),0)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IFERROR(__xludf.DUMMYFUNCTION("IMPORTRANGE(""https://docs.google.com/spreadsheets/d/1eHaY18a8A9IcSdp1K8H6x8fbOy06t2VsZHhMHf-1x7Y/edit?usp=sharing"",""แผน!HM26"")"),0)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IFERROR(__xludf.DUMMYFUNCTION("IMPORTRANGE(""https://docs.google.com/spreadsheets/d/1eHaY18a8A9IcSdp1K8H6x8fbOy06t2VsZHhMHf-1x7Y/edit?usp=sharing"",""แผน!HN26"")"),0)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IFERROR(__xludf.DUMMYFUNCTION("IMPORTRANGE(""https://docs.google.com/spreadsheets/d/1eHaY18a8A9IcSdp1K8H6x8fbOy06t2VsZHhMHf-1x7Y/edit?usp=sharing"",""แผน!HO26"")"),0)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IFERROR(__xludf.DUMMYFUNCTION("IMPORTRANGE(""https://docs.google.com/spreadsheets/d/1ItG2mGa2ceCfYo0BwxsXqNm01IGEUdYcSSLTEv9YCik/edit?usp=sharing"",""เบิกจ่ายกองทุน!X26"")"),0)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IFERROR(__xludf.DUMMYFUNCTION("IMPORTRANGE(""https://docs.google.com/spreadsheets/d/1ItG2mGa2ceCfYo0BwxsXqNm01IGEUdYcSSLTEv9YCik/edit?usp=sharing"",""เบิกจ่ายกองทุน!Y26"")"),0)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IFERROR(__xludf.DUMMYFUNCTION("IMPORTRANGE(""https://docs.google.com/spreadsheets/d/1ItG2mGa2ceCfYo0BwxsXqNm01IGEUdYcSSLTEv9YCik/edit?usp=sharing"",""เบิกจ่ายกองทุน!Z26"")"),0)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IFERROR(__xludf.DUMMYFUNCTION("IMPORTRANGE(""https://docs.google.com/spreadsheets/d/1eHaY18a8A9IcSdp1K8H6x8fbOy06t2VsZHhMHf-1x7Y/edit?usp=sharing"",""แผน!GX26"")"),0)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IFERROR(__xludf.DUMMYFUNCTION("IMPORTRANGE(""https://docs.google.com/spreadsheets/d/1eHaY18a8A9IcSdp1K8H6x8fbOy06t2VsZHhMHf-1x7Y/edit?usp=sharing"",""แผน!GY26"")"),0)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IFERROR(__xludf.DUMMYFUNCTION("IMPORTRANGE(""https://docs.google.com/spreadsheets/d/1eHaY18a8A9IcSdp1K8H6x8fbOy06t2VsZHhMHf-1x7Y/edit?usp=sharing"",""แผน!GZ26"")"),0)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IFERROR(__xludf.DUMMYFUNCTION("IMPORTRANGE(""https://docs.google.com/spreadsheets/d/1eHaY18a8A9IcSdp1K8H6x8fbOy06t2VsZHhMHf-1x7Y/edit?usp=sharing"",""แผน!HA26"")"),0)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IFERROR(__xludf.DUMMYFUNCTION("IMPORTRANGE(""https://docs.google.com/spreadsheets/d/1eHaY18a8A9IcSdp1K8H6x8fbOy06t2VsZHhMHf-1x7Y/edit?usp=sharing"",""แผน!HB26"")"),0)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IFERROR(__xludf.DUMMYFUNCTION("IMPORTRANGE(""https://docs.google.com/spreadsheets/d/1eHaY18a8A9IcSdp1K8H6x8fbOy06t2VsZHhMHf-1x7Y/edit?usp=sharing"",""แผน!HC26"")"),0)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IFERROR(__xludf.DUMMYFUNCTION("IMPORTRANGE(""https://docs.google.com/spreadsheets/d/1-uDff_7J0KD5mKrp0Vvzr7lt3OU09vwQwhkpOPPYv2Y/edit?usp=sharing"",""งบพรบ!FM26"")"),0)</f>
        <v>0</v>
      </c>
      <c r="M519" s="230">
        <f ca="1">IFERROR(__xludf.DUMMYFUNCTION("IMPORTRANGE(""https://docs.google.com/spreadsheets/d/1-uDff_7J0KD5mKrp0Vvzr7lt3OU09vwQwhkpOPPYv2Y/edit?usp=sharing"",""งบพรบ!FR26"")"),0)</f>
        <v>0</v>
      </c>
      <c r="N519" s="230">
        <f ca="1">IFERROR(__xludf.DUMMYFUNCTION("IMPORTRANGE(""https://docs.google.com/spreadsheets/d/1-uDff_7J0KD5mKrp0Vvzr7lt3OU09vwQwhkpOPPYv2Y/edit?usp=sharing"",""งบพรบ!FT26"")"),0)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IFERROR(__xludf.DUMMYFUNCTION("IMPORTRANGE(""https://docs.google.com/spreadsheets/d/1-uDff_7J0KD5mKrp0Vvzr7lt3OU09vwQwhkpOPPYv2Y/edit?usp=sharing"",""งบพรบ!FP26"")"),0)</f>
        <v>0</v>
      </c>
      <c r="M522" s="230">
        <f ca="1">IFERROR(__xludf.DUMMYFUNCTION("IMPORTRANGE(""https://docs.google.com/spreadsheets/d/1-uDff_7J0KD5mKrp0Vvzr7lt3OU09vwQwhkpOPPYv2Y/edit?usp=sharing"",""งบพรบ!FS26"")"),0)</f>
        <v>0</v>
      </c>
      <c r="N522" s="230">
        <f ca="1">IFERROR(__xludf.DUMMYFUNCTION("IMPORTRANGE(""https://docs.google.com/spreadsheets/d/1-uDff_7J0KD5mKrp0Vvzr7lt3OU09vwQwhkpOPPYv2Y/edit?usp=sharing"",""งบพรบ!FU26"")"),0)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50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6825</v>
      </c>
      <c r="R617" s="515">
        <f t="shared" ca="1" si="384"/>
        <v>6825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6825</v>
      </c>
      <c r="R619" s="230">
        <f t="shared" ca="1" si="388"/>
        <v>6825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6825</v>
      </c>
      <c r="R620" s="230">
        <f t="shared" ca="1" si="390"/>
        <v>6825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IFERROR(__xludf.DUMMYFUNCTION("IMPORTRANGE(""https://docs.google.com/spreadsheets/d/1ItG2mGa2ceCfYo0BwxsXqNm01IGEUdYcSSLTEv9YCik/edit?usp=sharing"",""เบิกจ่ายกองทุน!F26"")"),6825)</f>
        <v>6825</v>
      </c>
      <c r="R622" s="230">
        <f ca="1">IFERROR(__xludf.DUMMYFUNCTION("IMPORTRANGE(""https://docs.google.com/spreadsheets/d/1ItG2mGa2ceCfYo0BwxsXqNm01IGEUdYcSSLTEv9YCik/edit?usp=sharing"",""เบิกจ่ายกองทุน!G26"")"),6825)</f>
        <v>6825</v>
      </c>
      <c r="S622" s="230">
        <f ca="1">IFERROR(__xludf.DUMMYFUNCTION("IMPORTRANGE(""https://docs.google.com/spreadsheets/d/1ItG2mGa2ceCfYo0BwxsXqNm01IGEUdYcSSLTEv9YCik/edit?usp=sharing"",""เบิกจ่ายกองทุน!H26"")"),0)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IFERROR(__xludf.DUMMYFUNCTION("IMPORTRANGE(""https://docs.google.com/spreadsheets/d/1eHaY18a8A9IcSdp1K8H6x8fbOy06t2VsZHhMHf-1x7Y/edit?usp=sharing"",""แผน!ID26"")"),50)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IFERROR(__xludf.DUMMYFUNCTION("IMPORTRANGE(""https://docs.google.com/spreadsheets/d/1eHaY18a8A9IcSdp1K8H6x8fbOy06t2VsZHhMHf-1x7Y/edit?usp=sharing"",""แผน!IC26"")"),0)</f>
        <v>0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IFERROR(__xludf.DUMMYFUNCTION("IMPORTRANGE(""https://docs.google.com/spreadsheets/d/1eHaY18a8A9IcSdp1K8H6x8fbOy06t2VsZHhMHf-1x7Y/edit?usp=sharing"",""แผน!IC26"")"),0)</f>
        <v>0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IFERROR(__xludf.DUMMYFUNCTION("IMPORTRANGE(""https://docs.google.com/spreadsheets/d/1eHaY18a8A9IcSdp1K8H6x8fbOy06t2VsZHhMHf-1x7Y/edit?usp=sharing"",""แผน!IE26"")"),0)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0</v>
      </c>
      <c r="R643" s="515">
        <f t="shared" ca="1" si="398"/>
        <v>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0</v>
      </c>
      <c r="R645" s="230">
        <f t="shared" ca="1" si="402"/>
        <v>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0</v>
      </c>
      <c r="R646" s="230">
        <f t="shared" ca="1" si="404"/>
        <v>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IFERROR(__xludf.DUMMYFUNCTION("IMPORTRANGE(""https://docs.google.com/spreadsheets/d/1ItG2mGa2ceCfYo0BwxsXqNm01IGEUdYcSSLTEv9YCik/edit?usp=sharing"",""เบิกจ่ายกองทุน!I26"")"),0)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IFERROR(__xludf.DUMMYFUNCTION("IMPORTRANGE(""https://docs.google.com/spreadsheets/d/1ItG2mGa2ceCfYo0BwxsXqNm01IGEUdYcSSLTEv9YCik/edit?usp=sharing"",""เบิกจ่ายกองทุน!J26"")"),0)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IFERROR(__xludf.DUMMYFUNCTION("IMPORTRANGE(""https://docs.google.com/spreadsheets/d/1ItG2mGa2ceCfYo0BwxsXqNm01IGEUdYcSSLTEv9YCik/edit?usp=sharing"",""เบิกจ่ายกองทุน!K26"")"),0)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IFERROR(__xludf.DUMMYFUNCTION("IMPORTRANGE(""https://docs.google.com/spreadsheets/d/1eHaY18a8A9IcSdp1K8H6x8fbOy06t2VsZHhMHf-1x7Y/edit?usp=sharing"",""แผน!IF26"")"),0)</f>
        <v>0</v>
      </c>
      <c r="J653" s="189">
        <f ca="1">IFERROR(__xludf.DUMMYFUNCTION("IMPORTRANGE(""https://docs.google.com/spreadsheets/d/1tdoBKaGub7dwA3U6UFTqxio9LNnvDCQjHKmttSEBsFQ/edit?usp=sharing"",""จัดที่ดิน!AU26"")"),0)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IFERROR(__xludf.DUMMYFUNCTION("IMPORTRANGE(""https://docs.google.com/spreadsheets/d/1eHaY18a8A9IcSdp1K8H6x8fbOy06t2VsZHhMHf-1x7Y/edit?usp=sharing"",""แผน!IG26"")"),0)</f>
        <v>0</v>
      </c>
      <c r="J654" s="189">
        <f ca="1">IFERROR(__xludf.DUMMYFUNCTION("IMPORTRANGE(""https://docs.google.com/spreadsheets/d/1tdoBKaGub7dwA3U6UFTqxio9LNnvDCQjHKmttSEBsFQ/edit?usp=sharing"",""จัดที่ดิน!AW26"")"),0)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IFERROR(__xludf.DUMMYFUNCTION("IMPORTRANGE(""https://docs.google.com/spreadsheets/d/1eHaY18a8A9IcSdp1K8H6x8fbOy06t2VsZHhMHf-1x7Y/edit?usp=sharing"",""แผน!IH26"")"),0)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IFERROR(__xludf.DUMMYFUNCTION("IMPORTRANGE(""https://docs.google.com/spreadsheets/d/1eHaY18a8A9IcSdp1K8H6x8fbOy06t2VsZHhMHf-1x7Y/edit?usp=sharing"",""แผน!II26"")"),0)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IFERROR(__xludf.DUMMYFUNCTION("IMPORTRANGE(""https://docs.google.com/spreadsheets/d/1eHaY18a8A9IcSdp1K8H6x8fbOy06t2VsZHhMHf-1x7Y/edit?usp=sharing"",""แผน!IJ26"")"),0)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IFERROR(__xludf.DUMMYFUNCTION("IMPORTRANGE(""https://docs.google.com/spreadsheets/d/1eHaY18a8A9IcSdp1K8H6x8fbOy06t2VsZHhMHf-1x7Y/edit?usp=sharing"",""แผน!IK26"")"),0)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IFERROR(__xludf.DUMMYFUNCTION("IMPORTRANGE(""https://docs.google.com/spreadsheets/d/1tdoBKaGub7dwA3U6UFTqxio9LNnvDCQjHKmttSEBsFQ/edit?usp=sharing"",""จัดที่ดิน!AY26"")"),0)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IFERROR(__xludf.DUMMYFUNCTION("IMPORTRANGE(""https://docs.google.com/spreadsheets/d/1tdoBKaGub7dwA3U6UFTqxio9LNnvDCQjHKmttSEBsFQ/edit?usp=sharing"",""จัดที่ดิน!AZ26"")"),0)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IFERROR(__xludf.DUMMYFUNCTION("IMPORTRANGE(""https://docs.google.com/spreadsheets/d/1eHaY18a8A9IcSdp1K8H6x8fbOy06t2VsZHhMHf-1x7Y/edit?usp=sharing"",""แผน!IL26"")"),0)</f>
        <v>0</v>
      </c>
      <c r="J674" s="189">
        <f ca="1">IFERROR(__xludf.DUMMYFUNCTION("IMPORTRANGE(""https://docs.google.com/spreadsheets/d/1tdoBKaGub7dwA3U6UFTqxio9LNnvDCQjHKmttSEBsFQ/edit?usp=sharing"",""จัดที่ดิน!BA26"")"),0)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IFERROR(__xludf.DUMMYFUNCTION("IMPORTRANGE(""https://docs.google.com/spreadsheets/d/1eHaY18a8A9IcSdp1K8H6x8fbOy06t2VsZHhMHf-1x7Y/edit?usp=sharing"",""แผน!IM26"")"),0)</f>
        <v>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IFERROR(__xludf.DUMMYFUNCTION("IMPORTRANGE(""https://docs.google.com/spreadsheets/d/1eHaY18a8A9IcSdp1K8H6x8fbOy06t2VsZHhMHf-1x7Y/edit?usp=sharing"",""แผน!IN26"")"),0)</f>
        <v>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IFERROR(__xludf.DUMMYFUNCTION("IMPORTRANGE(""https://docs.google.com/spreadsheets/d/1eHaY18a8A9IcSdp1K8H6x8fbOy06t2VsZHhMHf-1x7Y/edit?usp=sharing"",""แผน!IO26"")"),0)</f>
        <v>0</v>
      </c>
      <c r="J677" s="189">
        <f ca="1">IFERROR(__xludf.DUMMYFUNCTION("IMPORTRANGE(""https://docs.google.com/spreadsheets/d/1tdoBKaGub7dwA3U6UFTqxio9LNnvDCQjHKmttSEBsFQ/edit?usp=sharing"",""จัดที่ดิน!BF26"")"),0)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IFERROR(__xludf.DUMMYFUNCTION("IMPORTRANGE(""https://docs.google.com/spreadsheets/d/1tdoBKaGub7dwA3U6UFTqxio9LNnvDCQjHKmttSEBsFQ/edit?usp=sharing"",""จัดที่ดิน!BG26"")"),0)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IFERROR(__xludf.DUMMYFUNCTION("IMPORTRANGE(""https://docs.google.com/spreadsheets/d/1eHaY18a8A9IcSdp1K8H6x8fbOy06t2VsZHhMHf-1x7Y/edit?usp=sharing"",""แผน!IP26"")"),0)</f>
        <v>0</v>
      </c>
      <c r="J679" s="189">
        <f ca="1">IFERROR(__xludf.DUMMYFUNCTION("IMPORTRANGE(""https://docs.google.com/spreadsheets/d/1tdoBKaGub7dwA3U6UFTqxio9LNnvDCQjHKmttSEBsFQ/edit?usp=sharing"",""จัดที่ดิน!BH26"")"),0)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IFERROR(__xludf.DUMMYFUNCTION("IMPORTRANGE(""https://docs.google.com/spreadsheets/d/1eHaY18a8A9IcSdp1K8H6x8fbOy06t2VsZHhMHf-1x7Y/edit?usp=sharing"",""แผน!IQ26"")"),0)</f>
        <v>0</v>
      </c>
      <c r="J680" s="189">
        <f ca="1">IFERROR(__xludf.DUMMYFUNCTION("IMPORTRANGE(""https://docs.google.com/spreadsheets/d/1tdoBKaGub7dwA3U6UFTqxio9LNnvDCQjHKmttSEBsFQ/edit?usp=sharing"",""จัดที่ดิน!BK26"")"),0)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IFERROR(__xludf.DUMMYFUNCTION("IMPORTRANGE(""https://docs.google.com/spreadsheets/d/1tdoBKaGub7dwA3U6UFTqxio9LNnvDCQjHKmttSEBsFQ/edit?usp=sharing"",""จัดที่ดิน!BL26"")"),0)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IFERROR(__xludf.DUMMYFUNCTION("IMPORTRANGE(""https://docs.google.com/spreadsheets/d/1eHaY18a8A9IcSdp1K8H6x8fbOy06t2VsZHhMHf-1x7Y/edit?usp=sharing"",""แผน!IR26"")"),0)</f>
        <v>0</v>
      </c>
      <c r="J682" s="189">
        <f ca="1">IFERROR(__xludf.DUMMYFUNCTION("IMPORTRANGE(""https://docs.google.com/spreadsheets/d/1tdoBKaGub7dwA3U6UFTqxio9LNnvDCQjHKmttSEBsFQ/edit?usp=sharing"",""จัดที่ดิน!BM26"")"),0)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IFERROR(__xludf.DUMMYFUNCTION("IMPORTRANGE(""https://docs.google.com/spreadsheets/d/1eHaY18a8A9IcSdp1K8H6x8fbOy06t2VsZHhMHf-1x7Y/edit?usp=sharing"",""แผน!IS26"")"),0)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1">I708</f>
        <v>110</v>
      </c>
      <c r="J690" s="700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298240</v>
      </c>
      <c r="R691" s="515">
        <f t="shared" ca="1" si="415"/>
        <v>298240</v>
      </c>
      <c r="S691" s="515">
        <f t="shared" ca="1" si="415"/>
        <v>16640</v>
      </c>
      <c r="T691" s="515">
        <f t="shared" ref="T691:T699" ca="1" si="416">IF(Q691&gt;0,S691*100/Q691,0)</f>
        <v>5.5793991416309012</v>
      </c>
      <c r="U691" s="515">
        <f t="shared" ref="U691:U699" ca="1" si="417">IF(R691&gt;0,S691*100/R691,0)</f>
        <v>5.5793991416309012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298240</v>
      </c>
      <c r="R693" s="230">
        <f t="shared" ca="1" si="419"/>
        <v>298240</v>
      </c>
      <c r="S693" s="230">
        <f t="shared" ca="1" si="419"/>
        <v>16640</v>
      </c>
      <c r="T693" s="230">
        <f t="shared" ca="1" si="416"/>
        <v>5.5793991416309012</v>
      </c>
      <c r="U693" s="230">
        <f t="shared" ca="1" si="417"/>
        <v>5.5793991416309012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298240</v>
      </c>
      <c r="R694" s="230">
        <f t="shared" ca="1" si="421"/>
        <v>298240</v>
      </c>
      <c r="S694" s="230">
        <f t="shared" ca="1" si="421"/>
        <v>16640</v>
      </c>
      <c r="T694" s="230">
        <f t="shared" ca="1" si="416"/>
        <v>5.5793991416309012</v>
      </c>
      <c r="U694" s="230">
        <f t="shared" ca="1" si="417"/>
        <v>5.5793991416309012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6" s="230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6" s="230">
        <f ca="1">IFERROR(__xludf.DUMMYFUNCTION("IMPORTRANGE(""https://docs.google.com/spreadsheets/d/1ItG2mGa2ceCfYo0BwxsXqNm01IGEUdYcSSLTEv9YCik/edit?usp=sharing"",""เบิกจ่ายกองทุน!N26"")"),16640)</f>
        <v>16640</v>
      </c>
      <c r="T696" s="230">
        <f t="shared" ca="1" si="416"/>
        <v>5.5793991416309012</v>
      </c>
      <c r="U696" s="230">
        <f t="shared" ca="1" si="417"/>
        <v>5.5793991416309012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IFERROR(__xludf.DUMMYFUNCTION("IMPORTRANGE(""https://docs.google.com/spreadsheets/d/1eHaY18a8A9IcSdp1K8H6x8fbOy06t2VsZHhMHf-1x7Y/edit?usp=sharing"",""แผน!LC26"")"),4)</f>
        <v>4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113</v>
      </c>
      <c r="J702" s="340">
        <f t="shared" ca="1" si="425"/>
        <v>21</v>
      </c>
      <c r="K702" s="515">
        <f t="shared" ca="1" si="424"/>
        <v>18.584070796460178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18.690000000000001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IFERROR(__xludf.DUMMYFUNCTION("IMPORTRANGE(""https://docs.google.com/spreadsheets/d/1eHaY18a8A9IcSdp1K8H6x8fbOy06t2VsZHhMHf-1x7Y/edit?usp=sharing"",""แผน!LJ26"")"),110)</f>
        <v>110</v>
      </c>
      <c r="J704" s="189">
        <f ca="1">IFERROR(__xludf.DUMMYFUNCTION("IMPORTRANGE(""https://docs.google.com/spreadsheets/d/1tdoBKaGub7dwA3U6UFTqxio9LNnvDCQjHKmttSEBsFQ/edit?usp=sharing"",""จัดที่ดิน!AP26"")"),21)</f>
        <v>21</v>
      </c>
      <c r="K704" s="230">
        <f t="shared" ca="1" si="424"/>
        <v>19.09090909090909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IFERROR(__xludf.DUMMYFUNCTION("IMPORTRANGE(""https://docs.google.com/spreadsheets/d/1tdoBKaGub7dwA3U6UFTqxio9LNnvDCQjHKmttSEBsFQ/edit?usp=sharing"",""จัดที่ดิน!AQ26"")"),18.69)</f>
        <v>18.690000000000001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IFERROR(__xludf.DUMMYFUNCTION("IMPORTRANGE(""https://docs.google.com/spreadsheets/d/1eHaY18a8A9IcSdp1K8H6x8fbOy06t2VsZHhMHf-1x7Y/edit?usp=sharing"",""แผน!LK26"")"),3)</f>
        <v>3</v>
      </c>
      <c r="J706" s="189">
        <f ca="1">IFERROR(__xludf.DUMMYFUNCTION("IMPORTRANGE(""https://docs.google.com/spreadsheets/d/1tdoBKaGub7dwA3U6UFTqxio9LNnvDCQjHKmttSEBsFQ/edit?usp=sharing"",""จัดที่ดิน!AR26"")"),0)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IFERROR(__xludf.DUMMYFUNCTION("IMPORTRANGE(""https://docs.google.com/spreadsheets/d/1tdoBKaGub7dwA3U6UFTqxio9LNnvDCQjHKmttSEBsFQ/edit?usp=sharing"",""จัดที่ดิน!AS26"")"),0)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IFERROR(__xludf.DUMMYFUNCTION("IMPORTRANGE(""https://docs.google.com/spreadsheets/d/1eHaY18a8A9IcSdp1K8H6x8fbOy06t2VsZHhMHf-1x7Y/edit?usp=sharing"",""แผน!LJ26"")"),110)</f>
        <v>110</v>
      </c>
      <c r="J708" s="189">
        <f ca="1">IFERROR(__xludf.DUMMYFUNCTION("IMPORTRANGE(""https://docs.google.com/spreadsheets/d/1tdoBKaGub7dwA3U6UFTqxio9LNnvDCQjHKmttSEBsFQ/edit?usp=sharing"",""จัดที่ดิน!BN26"")"),0)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IFERROR(__xludf.DUMMYFUNCTION("IMPORTRANGE(""https://docs.google.com/spreadsheets/d/1tdoBKaGub7dwA3U6UFTqxio9LNnvDCQjHKmttSEBsFQ/edit?usp=sharing"",""จัดที่ดิน!BO26"")"),0)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IFERROR(__xludf.DUMMYFUNCTION("IMPORTRANGE(""https://docs.google.com/spreadsheets/d/1eHaY18a8A9IcSdp1K8H6x8fbOy06t2VsZHhMHf-1x7Y/edit?usp=sharing"",""แผน!LK26"")"),3)</f>
        <v>3</v>
      </c>
      <c r="J710" s="189">
        <f ca="1">IFERROR(__xludf.DUMMYFUNCTION("IMPORTRANGE(""https://docs.google.com/spreadsheets/d/1tdoBKaGub7dwA3U6UFTqxio9LNnvDCQjHKmttSEBsFQ/edit?usp=sharing"",""จัดที่ดิน!BP26"")"),0)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IFERROR(__xludf.DUMMYFUNCTION("IMPORTRANGE(""https://docs.google.com/spreadsheets/d/1tdoBKaGub7dwA3U6UFTqxio9LNnvDCQjHKmttSEBsFQ/edit?usp=sharing"",""จัดที่ดิน!BQ26"")"),0)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IFERROR(__xludf.DUMMYFUNCTION("IMPORTRANGE(""https://docs.google.com/spreadsheets/d/1eHaY18a8A9IcSdp1K8H6x8fbOy06t2VsZHhMHf-1x7Y/edit?usp=sharing"",""แผน!GA26"")"),51)</f>
        <v>51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IFERROR(__xludf.DUMMYFUNCTION("IMPORTRANGE(""https://docs.google.com/spreadsheets/d/1eHaY18a8A9IcSdp1K8H6x8fbOy06t2VsZHhMHf-1x7Y/edit?usp=sharing"",""แผน!FZ26"")"),500)</f>
        <v>500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379090</v>
      </c>
      <c r="R729" s="515">
        <f t="shared" ca="1" si="442"/>
        <v>379090</v>
      </c>
      <c r="S729" s="515">
        <f t="shared" ca="1" si="442"/>
        <v>5560</v>
      </c>
      <c r="T729" s="515">
        <f t="shared" ref="T729:T737" ca="1" si="443">IF(Q729&gt;0,S729*100/Q729,0)</f>
        <v>1.4666701838613523</v>
      </c>
      <c r="U729" s="515">
        <f t="shared" ref="U729:U737" ca="1" si="444">IF(R729&gt;0,S729*100/R729,0)</f>
        <v>1.4666701838613523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379090</v>
      </c>
      <c r="R731" s="230">
        <f t="shared" ca="1" si="446"/>
        <v>379090</v>
      </c>
      <c r="S731" s="230">
        <f t="shared" ca="1" si="446"/>
        <v>5560</v>
      </c>
      <c r="T731" s="230">
        <f t="shared" ca="1" si="443"/>
        <v>1.4666701838613523</v>
      </c>
      <c r="U731" s="230">
        <f t="shared" ca="1" si="444"/>
        <v>1.4666701838613523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379090</v>
      </c>
      <c r="R732" s="230">
        <f t="shared" ca="1" si="448"/>
        <v>379090</v>
      </c>
      <c r="S732" s="230">
        <f t="shared" ca="1" si="448"/>
        <v>5560</v>
      </c>
      <c r="T732" s="230">
        <f t="shared" ca="1" si="443"/>
        <v>1.4666701838613523</v>
      </c>
      <c r="U732" s="230">
        <f t="shared" ca="1" si="444"/>
        <v>1.4666701838613523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4" s="230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4" s="230">
        <f ca="1">IFERROR(__xludf.DUMMYFUNCTION("IMPORTRANGE(""https://docs.google.com/spreadsheets/d/1ItG2mGa2ceCfYo0BwxsXqNm01IGEUdYcSSLTEv9YCik/edit?usp=sharing"",""เบิกจ่ายกองทุน!Q26"")"),5560)</f>
        <v>5560</v>
      </c>
      <c r="T734" s="230">
        <f t="shared" ca="1" si="443"/>
        <v>1.4666701838613523</v>
      </c>
      <c r="U734" s="230">
        <f t="shared" ca="1" si="444"/>
        <v>1.4666701838613523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IFERROR(__xludf.DUMMYFUNCTION("IMPORTRANGE(""https://docs.google.com/spreadsheets/d/1eHaY18a8A9IcSdp1K8H6x8fbOy06t2VsZHhMHf-1x7Y/edit?usp=sharing"",""แผน!GB26"")"),400)</f>
        <v>400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IFERROR(__xludf.DUMMYFUNCTION("IMPORTRANGE(""https://docs.google.com/spreadsheets/d/1eHaY18a8A9IcSdp1K8H6x8fbOy06t2VsZHhMHf-1x7Y/edit?usp=sharing"",""แผน!GC26"")"),40)</f>
        <v>40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IFERROR(__xludf.DUMMYFUNCTION("IMPORTRANGE(""https://docs.google.com/spreadsheets/d/1eHaY18a8A9IcSdp1K8H6x8fbOy06t2VsZHhMHf-1x7Y/edit?usp=sharing"",""แผน!GD26"")"),100)</f>
        <v>100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IFERROR(__xludf.DUMMYFUNCTION("IMPORTRANGE(""https://docs.google.com/spreadsheets/d/1eHaY18a8A9IcSdp1K8H6x8fbOy06t2VsZHhMHf-1x7Y/edit?usp=sharing"",""แผน!GE26"")"),10)</f>
        <v>10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IFERROR(__xludf.DUMMYFUNCTION("IMPORTRANGE(""https://docs.google.com/spreadsheets/d/1eHaY18a8A9IcSdp1K8H6x8fbOy06t2VsZHhMHf-1x7Y/edit?usp=sharing"",""แผน!GF26"")"),1)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IFERROR(__xludf.DUMMYFUNCTION("IMPORTRANGE(""https://docs.google.com/spreadsheets/d/1eHaY18a8A9IcSdp1K8H6x8fbOy06t2VsZHhMHf-1x7Y/edit?usp=sharing"",""แผน!GC26"")"),40)</f>
        <v>40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IFERROR(__xludf.DUMMYFUNCTION("IMPORTRANGE(""https://docs.google.com/spreadsheets/d/1eHaY18a8A9IcSdp1K8H6x8fbOy06t2VsZHhMHf-1x7Y/edit?usp=sharing"",""แผน!GE26"")"),10)</f>
        <v>10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40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120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379780</v>
      </c>
      <c r="R760" s="515">
        <f t="shared" ca="1" si="457"/>
        <v>379780</v>
      </c>
      <c r="S760" s="515">
        <f t="shared" ca="1" si="457"/>
        <v>0</v>
      </c>
      <c r="T760" s="515">
        <f t="shared" ref="T760:T768" ca="1" si="458">IF(Q760&gt;0,S760*100/Q760,0)</f>
        <v>0</v>
      </c>
      <c r="U760" s="515">
        <f t="shared" ref="U760:U768" ca="1" si="459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379780</v>
      </c>
      <c r="R762" s="230">
        <f t="shared" ca="1" si="461"/>
        <v>379780</v>
      </c>
      <c r="S762" s="230">
        <f t="shared" ca="1" si="461"/>
        <v>0</v>
      </c>
      <c r="T762" s="230">
        <f t="shared" ca="1" si="458"/>
        <v>0</v>
      </c>
      <c r="U762" s="230">
        <f t="shared" ca="1" si="459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379780</v>
      </c>
      <c r="R763" s="230">
        <f t="shared" ca="1" si="463"/>
        <v>379780</v>
      </c>
      <c r="S763" s="230">
        <f t="shared" ca="1" si="463"/>
        <v>0</v>
      </c>
      <c r="T763" s="230">
        <f t="shared" ca="1" si="458"/>
        <v>0</v>
      </c>
      <c r="U763" s="230">
        <f t="shared" ca="1" si="459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IFERROR(__xludf.DUMMYFUNCTION("IMPORTRANGE(""https://docs.google.com/spreadsheets/d/1ItG2mGa2ceCfYo0BwxsXqNm01IGEUdYcSSLTEv9YCik/edit?usp=sharing"",""เบิกจ่ายกองทุน!U26"")"),379780)</f>
        <v>379780</v>
      </c>
      <c r="R765" s="230">
        <f ca="1">IFERROR(__xludf.DUMMYFUNCTION("IMPORTRANGE(""https://docs.google.com/spreadsheets/d/1ItG2mGa2ceCfYo0BwxsXqNm01IGEUdYcSSLTEv9YCik/edit?usp=sharing"",""เบิกจ่ายกองทุน!V26"")"),379780)</f>
        <v>379780</v>
      </c>
      <c r="S765" s="230">
        <f ca="1">IFERROR(__xludf.DUMMYFUNCTION("IMPORTRANGE(""https://docs.google.com/spreadsheets/d/1ItG2mGa2ceCfYo0BwxsXqNm01IGEUdYcSSLTEv9YCik/edit?usp=sharing"",""เบิกจ่ายกองทุน!W26"")"),0)</f>
        <v>0</v>
      </c>
      <c r="T765" s="230">
        <f t="shared" ca="1" si="458"/>
        <v>0</v>
      </c>
      <c r="U765" s="230">
        <f t="shared" ca="1" si="459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IFERROR(__xludf.DUMMYFUNCTION("IMPORTRANGE(""https://docs.google.com/spreadsheets/d/1eHaY18a8A9IcSdp1K8H6x8fbOy06t2VsZHhMHf-1x7Y/edit?usp=sharing"",""แผน!FI26"")"),0)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IFERROR(__xludf.DUMMYFUNCTION("IMPORTRANGE(""https://docs.google.com/spreadsheets/d/1eHaY18a8A9IcSdp1K8H6x8fbOy06t2VsZHhMHf-1x7Y/edit?usp=sharing"",""แผน!FQ26"")"),40)</f>
        <v>40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IFERROR(__xludf.DUMMYFUNCTION("IMPORTRANGE(""https://docs.google.com/spreadsheets/d/1eHaY18a8A9IcSdp1K8H6x8fbOy06t2VsZHhMHf-1x7Y/edit?usp=sharing"",""แผน!FR26"")"),120)</f>
        <v>120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IFERROR(__xludf.DUMMYFUNCTION("IMPORTRANGE(""https://docs.google.com/spreadsheets/d/1eHaY18a8A9IcSdp1K8H6x8fbOy06t2VsZHhMHf-1x7Y/edit?usp=sharing"",""แผน!FS26"")"),120)</f>
        <v>120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IFERROR(__xludf.DUMMYFUNCTION("IMPORTRANGE(""https://docs.google.com/spreadsheets/d/1eHaY18a8A9IcSdp1K8H6x8fbOy06t2VsZHhMHf-1x7Y/edit?usp=sharing"",""แผน!FT26"")"),40)</f>
        <v>40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IFERROR(__xludf.DUMMYFUNCTION("IMPORTRANGE(""https://docs.google.com/spreadsheets/d/10OvvATaaLtwErnr3qtWFcTmtbfpFEt5Bsqel9sXx0uE/edit?usp=sharing"",""งานกองทุน!D26"")"),7276200.4)</f>
        <v>7276200.4000000004</v>
      </c>
      <c r="J778" s="189">
        <f ca="1">IFERROR(__xludf.DUMMYFUNCTION("IMPORTRANGE(""https://docs.google.com/spreadsheets/d/10OvvATaaLtwErnr3qtWFcTmtbfpFEt5Bsqel9sXx0uE/edit?usp=sharing"",""งานกองทุน!F26"")"),2890064.77)</f>
        <v>2890064.77</v>
      </c>
      <c r="K778" s="230">
        <f t="shared" ref="K778:K785" ca="1" si="466">IF(I778&gt;0,J778*100/I778,0)</f>
        <v>39.719422378745918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IFERROR(__xludf.DUMMYFUNCTION("IMPORTRANGE(""https://docs.google.com/spreadsheets/d/10OvvATaaLtwErnr3qtWFcTmtbfpFEt5Bsqel9sXx0uE/edit?usp=sharing"",""งานกองทุน!C26"")"),320)</f>
        <v>320</v>
      </c>
      <c r="J779" s="189">
        <f ca="1">IFERROR(__xludf.DUMMYFUNCTION("IMPORTRANGE(""https://docs.google.com/spreadsheets/d/10OvvATaaLtwErnr3qtWFcTmtbfpFEt5Bsqel9sXx0uE/edit?usp=sharing"",""งานกองทุน!E26"")"),181)</f>
        <v>181</v>
      </c>
      <c r="K779" s="230">
        <f t="shared" ca="1" si="466"/>
        <v>56.5625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9">
        <f ca="1">IFERROR(__xludf.DUMMYFUNCTION("IMPORTRANGE(""https://docs.google.com/spreadsheets/d/10OvvATaaLtwErnr3qtWFcTmtbfpFEt5Bsqel9sXx0uE/edit?usp=sharing"",""งานกองทุน!K26"")"),2564.68)</f>
        <v>2564.6799999999998</v>
      </c>
      <c r="K780" s="230">
        <f t="shared" ca="1" si="466"/>
        <v>8.629553498635417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IFERROR(__xludf.DUMMYFUNCTION("IMPORTRANGE(""https://docs.google.com/spreadsheets/d/10OvvATaaLtwErnr3qtWFcTmtbfpFEt5Bsqel9sXx0uE/edit?usp=sharing"",""งานกองทุน!H26"")"),1)</f>
        <v>1</v>
      </c>
      <c r="J781" s="189">
        <f ca="1">IFERROR(__xludf.DUMMYFUNCTION("IMPORTRANGE(""https://docs.google.com/spreadsheets/d/10OvvATaaLtwErnr3qtWFcTmtbfpFEt5Bsqel9sXx0uE/edit?usp=sharing"",""งานกองทุน!J26"")"),1)</f>
        <v>1</v>
      </c>
      <c r="K781" s="230">
        <f t="shared" ca="1" si="466"/>
        <v>100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IFERROR(__xludf.DUMMYFUNCTION("IMPORTRANGE(""https://docs.google.com/spreadsheets/d/10OvvATaaLtwErnr3qtWFcTmtbfpFEt5Bsqel9sXx0uE/edit?usp=sharing"",""งานกองทุน!N26"")"),0)</f>
        <v>0</v>
      </c>
      <c r="J782" s="189">
        <f ca="1">IFERROR(__xludf.DUMMYFUNCTION("IMPORTRANGE(""https://docs.google.com/spreadsheets/d/10OvvATaaLtwErnr3qtWFcTmtbfpFEt5Bsqel9sXx0uE/edit?usp=sharing"",""งานกองทุน!P26"")"),0)</f>
        <v>0</v>
      </c>
      <c r="K782" s="230">
        <f t="shared" ca="1" si="466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IFERROR(__xludf.DUMMYFUNCTION("IMPORTRANGE(""https://docs.google.com/spreadsheets/d/10OvvATaaLtwErnr3qtWFcTmtbfpFEt5Bsqel9sXx0uE/edit?usp=sharing"",""งานกองทุน!M26"")"),0)</f>
        <v>0</v>
      </c>
      <c r="J783" s="189">
        <f ca="1">IFERROR(__xludf.DUMMYFUNCTION("IMPORTRANGE(""https://docs.google.com/spreadsheets/d/10OvvATaaLtwErnr3qtWFcTmtbfpFEt5Bsqel9sXx0uE/edit?usp=sharing"",""งานกองทุน!O26"")"),0)</f>
        <v>0</v>
      </c>
      <c r="K783" s="230">
        <f t="shared" ca="1" si="466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IFERROR(__xludf.DUMMYFUNCTION("IMPORTRANGE(""https://docs.google.com/spreadsheets/d/10OvvATaaLtwErnr3qtWFcTmtbfpFEt5Bsqel9sXx0uE/edit?usp=sharing"",""งานกองทุน!S26"")"),9772000)</f>
        <v>9772000</v>
      </c>
      <c r="J784" s="189">
        <f ca="1">IFERROR(__xludf.DUMMYFUNCTION("IMPORTRANGE(""https://docs.google.com/spreadsheets/d/10OvvATaaLtwErnr3qtWFcTmtbfpFEt5Bsqel9sXx0uE/edit?usp=sharing"",""งานกองทุน!U26"")"),2360000)</f>
        <v>2360000</v>
      </c>
      <c r="K784" s="230">
        <f t="shared" ca="1" si="466"/>
        <v>24.150634465820712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IFERROR(__xludf.DUMMYFUNCTION("IMPORTRANGE(""https://docs.google.com/spreadsheets/d/10OvvATaaLtwErnr3qtWFcTmtbfpFEt5Bsqel9sXx0uE/edit?usp=sharing"",""งานกองทุน!R26"")"),349)</f>
        <v>349</v>
      </c>
      <c r="J785" s="194">
        <f ca="1">IFERROR(__xludf.DUMMYFUNCTION("IMPORTRANGE(""https://docs.google.com/spreadsheets/d/10OvvATaaLtwErnr3qtWFcTmtbfpFEt5Bsqel9sXx0uE/edit?usp=sharing"",""งานกองทุน!T26"")"),56)</f>
        <v>56</v>
      </c>
      <c r="K785" s="461">
        <f t="shared" ca="1" si="466"/>
        <v>16.045845272206304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2068-7976-4785-BC7D-AF46CA7EAED4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activeCell="A162" sqref="A162:XFD16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328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2426125</v>
      </c>
      <c r="M19" s="474">
        <f t="shared" ca="1" si="0"/>
        <v>2501388</v>
      </c>
      <c r="N19" s="474">
        <f t="shared" ca="1" si="0"/>
        <v>1391812.0799999998</v>
      </c>
      <c r="O19" s="474">
        <f t="shared" ref="O19:O27" ca="1" si="1">IF(L19&gt;0,N19*100/L19,0)</f>
        <v>57.367698696481</v>
      </c>
      <c r="P19" s="474">
        <f t="shared" ref="P19:P27" ca="1" si="2">IF(M19&gt;0,N19*100/M19,0)</f>
        <v>55.64159098868307</v>
      </c>
      <c r="Q19" s="474">
        <f t="shared" ref="Q19:S19" ca="1" si="3">Q20+Q21</f>
        <v>2121953.39</v>
      </c>
      <c r="R19" s="474">
        <f t="shared" ca="1" si="3"/>
        <v>2059453</v>
      </c>
      <c r="S19" s="474">
        <f t="shared" ca="1" si="3"/>
        <v>81770</v>
      </c>
      <c r="T19" s="474">
        <f t="shared" ref="T19:T27" ca="1" si="4">IF(Q19&gt;0,S19*100/Q19,0)</f>
        <v>3.8535247939635466</v>
      </c>
      <c r="U19" s="474">
        <f t="shared" ref="U19:U27" ca="1" si="5">IF(R19&gt;0,S19*100/R19,0)</f>
        <v>3.9704717709022734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2426125</v>
      </c>
      <c r="M21" s="480">
        <f t="shared" ca="1" si="6"/>
        <v>2501388</v>
      </c>
      <c r="N21" s="480">
        <f t="shared" ca="1" si="6"/>
        <v>1391812.0799999998</v>
      </c>
      <c r="O21" s="480">
        <f t="shared" ca="1" si="1"/>
        <v>57.367698696481</v>
      </c>
      <c r="P21" s="480">
        <f t="shared" ca="1" si="2"/>
        <v>55.64159098868307</v>
      </c>
      <c r="Q21" s="480">
        <f t="shared" ca="1" si="7"/>
        <v>2121953.39</v>
      </c>
      <c r="R21" s="480">
        <f t="shared" ca="1" si="7"/>
        <v>2059453</v>
      </c>
      <c r="S21" s="480">
        <f t="shared" ca="1" si="7"/>
        <v>81770</v>
      </c>
      <c r="T21" s="480">
        <f t="shared" ca="1" si="4"/>
        <v>3.8535247939635466</v>
      </c>
      <c r="U21" s="480">
        <f t="shared" ca="1" si="5"/>
        <v>3.9704717709022734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2426125</v>
      </c>
      <c r="M22" s="230">
        <f t="shared" ca="1" si="8"/>
        <v>2501388</v>
      </c>
      <c r="N22" s="230">
        <f t="shared" ca="1" si="8"/>
        <v>1391812.0799999998</v>
      </c>
      <c r="O22" s="230">
        <f t="shared" ca="1" si="1"/>
        <v>57.367698696481</v>
      </c>
      <c r="P22" s="230">
        <f t="shared" ca="1" si="2"/>
        <v>55.64159098868307</v>
      </c>
      <c r="Q22" s="230">
        <f t="shared" ref="Q22:S22" ca="1" si="9">Q23+Q24</f>
        <v>2121953.39</v>
      </c>
      <c r="R22" s="230">
        <f t="shared" ca="1" si="9"/>
        <v>2059453</v>
      </c>
      <c r="S22" s="230">
        <f t="shared" ca="1" si="9"/>
        <v>81770</v>
      </c>
      <c r="T22" s="230">
        <f t="shared" ca="1" si="4"/>
        <v>3.8535247939635466</v>
      </c>
      <c r="U22" s="230">
        <f t="shared" ca="1" si="5"/>
        <v>3.9704717709022734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2426125</v>
      </c>
      <c r="M24" s="230">
        <f t="shared" ca="1" si="10"/>
        <v>2501388</v>
      </c>
      <c r="N24" s="230">
        <f t="shared" ca="1" si="10"/>
        <v>1391812.0799999998</v>
      </c>
      <c r="O24" s="230">
        <f t="shared" ca="1" si="1"/>
        <v>57.367698696481</v>
      </c>
      <c r="P24" s="230">
        <f t="shared" ca="1" si="2"/>
        <v>55.64159098868307</v>
      </c>
      <c r="Q24" s="230">
        <f t="shared" ca="1" si="11"/>
        <v>2121953.39</v>
      </c>
      <c r="R24" s="230">
        <f t="shared" ca="1" si="11"/>
        <v>2059453</v>
      </c>
      <c r="S24" s="230">
        <f t="shared" ca="1" si="11"/>
        <v>81770</v>
      </c>
      <c r="T24" s="230">
        <f t="shared" ca="1" si="4"/>
        <v>3.8535247939635466</v>
      </c>
      <c r="U24" s="230">
        <f t="shared" ca="1" si="5"/>
        <v>3.9704717709022734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2426125</v>
      </c>
      <c r="M41" s="487">
        <f t="shared" ca="1" si="16"/>
        <v>2501388</v>
      </c>
      <c r="N41" s="487">
        <f t="shared" ca="1" si="16"/>
        <v>1391812.0799999998</v>
      </c>
      <c r="O41" s="487">
        <f ca="1">IF(L41&gt;0,N41*100/L41,0)</f>
        <v>57.367698696481</v>
      </c>
      <c r="P41" s="487">
        <f ca="1">IF(M41&gt;0,N41*100/M41,0)</f>
        <v>55.64159098868307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355250</v>
      </c>
      <c r="M45" s="491">
        <f t="shared" ca="1" si="17"/>
        <v>368883</v>
      </c>
      <c r="N45" s="491">
        <f t="shared" ca="1" si="17"/>
        <v>224548.95</v>
      </c>
      <c r="O45" s="491">
        <f t="shared" ref="O45:O53" ca="1" si="18">IF(L45&gt;0,N45*100/L45,0)</f>
        <v>63.208712174524983</v>
      </c>
      <c r="P45" s="491">
        <f t="shared" ref="P45:P53" ca="1" si="19">IF(M45&gt;0,N45*100/M45,0)</f>
        <v>60.872675075837051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355250</v>
      </c>
      <c r="M47" s="497">
        <f t="shared" ca="1" si="23"/>
        <v>368883</v>
      </c>
      <c r="N47" s="497">
        <f t="shared" ca="1" si="23"/>
        <v>224548.95</v>
      </c>
      <c r="O47" s="497">
        <f t="shared" ca="1" si="18"/>
        <v>63.208712174524983</v>
      </c>
      <c r="P47" s="497">
        <f t="shared" ca="1" si="19"/>
        <v>60.872675075837051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355250</v>
      </c>
      <c r="M48" s="230">
        <f t="shared" ca="1" si="25"/>
        <v>368883</v>
      </c>
      <c r="N48" s="230">
        <f t="shared" ca="1" si="25"/>
        <v>224548.95</v>
      </c>
      <c r="O48" s="230">
        <f t="shared" ca="1" si="18"/>
        <v>63.208712174524983</v>
      </c>
      <c r="P48" s="230">
        <f t="shared" ca="1" si="19"/>
        <v>60.872675075837051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IFERROR(__xludf.DUMMYFUNCTION("IMPORTRANGE(""https://docs.google.com/spreadsheets/d/1-uDff_7J0KD5mKrp0Vvzr7lt3OU09vwQwhkpOPPYv2Y/edit?usp=sharing"",""งบพรบ!P27"")"),355250)</f>
        <v>355250</v>
      </c>
      <c r="M50" s="230">
        <f ca="1">IFERROR(__xludf.DUMMYFUNCTION("IMPORTRANGE(""https://docs.google.com/spreadsheets/d/1-uDff_7J0KD5mKrp0Vvzr7lt3OU09vwQwhkpOPPYv2Y/edit?usp=sharing"",""งบพรบ!V27"")"),368883)</f>
        <v>368883</v>
      </c>
      <c r="N50" s="230">
        <f ca="1">IFERROR(__xludf.DUMMYFUNCTION("IMPORTRANGE(""https://docs.google.com/spreadsheets/d/1-uDff_7J0KD5mKrp0Vvzr7lt3OU09vwQwhkpOPPYv2Y/edit?usp=sharing"",""งบพรบ!Y27"")"),224548.95)</f>
        <v>224548.95</v>
      </c>
      <c r="O50" s="230">
        <f t="shared" ca="1" si="18"/>
        <v>63.208712174524983</v>
      </c>
      <c r="P50" s="230">
        <f t="shared" ca="1" si="19"/>
        <v>60.872675075837051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IFERROR(__xludf.DUMMYFUNCTION("IMPORTRANGE(""https://docs.google.com/spreadsheets/d/1-uDff_7J0KD5mKrp0Vvzr7lt3OU09vwQwhkpOPPYv2Y/edit?usp=sharing"",""งบพรบ!S27"")"),0)</f>
        <v>0</v>
      </c>
      <c r="M53" s="230">
        <f ca="1">IFERROR(__xludf.DUMMYFUNCTION("IMPORTRANGE(""https://docs.google.com/spreadsheets/d/1-uDff_7J0KD5mKrp0Vvzr7lt3OU09vwQwhkpOPPYv2Y/edit?usp=sharing"",""งบพรบ!W27"")"),0)</f>
        <v>0</v>
      </c>
      <c r="N53" s="230">
        <f ca="1">IFERROR(__xludf.DUMMYFUNCTION("IMPORTRANGE(""https://docs.google.com/spreadsheets/d/1-uDff_7J0KD5mKrp0Vvzr7lt3OU09vwQwhkpOPPYv2Y/edit?usp=sharing"",""งบพรบ!Z27"")"),0)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530800</v>
      </c>
      <c r="M60" s="502">
        <f t="shared" ca="1" si="29"/>
        <v>530800</v>
      </c>
      <c r="N60" s="502">
        <f t="shared" ca="1" si="29"/>
        <v>430176.47</v>
      </c>
      <c r="O60" s="502">
        <f t="shared" ref="O60:O68" ca="1" si="30">IF(L60&gt;0,N60*100/L60,0)</f>
        <v>81.043042577241906</v>
      </c>
      <c r="P60" s="502">
        <f t="shared" ref="P60:P68" ca="1" si="31">IF(M60&gt;0,N60*100/M60,0)</f>
        <v>81.043042577241906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530800</v>
      </c>
      <c r="M62" s="508">
        <f t="shared" ca="1" si="35"/>
        <v>530800</v>
      </c>
      <c r="N62" s="508">
        <f t="shared" ca="1" si="35"/>
        <v>430176.47</v>
      </c>
      <c r="O62" s="508">
        <f t="shared" ca="1" si="30"/>
        <v>81.043042577241906</v>
      </c>
      <c r="P62" s="508">
        <f t="shared" ca="1" si="31"/>
        <v>81.043042577241906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530800</v>
      </c>
      <c r="M63" s="230">
        <f t="shared" ca="1" si="37"/>
        <v>530800</v>
      </c>
      <c r="N63" s="230">
        <f t="shared" ca="1" si="37"/>
        <v>430176.47</v>
      </c>
      <c r="O63" s="230">
        <f t="shared" ca="1" si="30"/>
        <v>81.043042577241906</v>
      </c>
      <c r="P63" s="230">
        <f t="shared" ca="1" si="31"/>
        <v>81.043042577241906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IFERROR(__xludf.DUMMYFUNCTION("IMPORTRANGE(""https://docs.google.com/spreadsheets/d/1-uDff_7J0KD5mKrp0Vvzr7lt3OU09vwQwhkpOPPYv2Y/edit?usp=sharing"",""งบพรบ!AC27"")"),530800)</f>
        <v>530800</v>
      </c>
      <c r="M65" s="230">
        <f ca="1">IFERROR(__xludf.DUMMYFUNCTION("IMPORTRANGE(""https://docs.google.com/spreadsheets/d/1-uDff_7J0KD5mKrp0Vvzr7lt3OU09vwQwhkpOPPYv2Y/edit?usp=sharing"",""งบพรบ!AH27"")"),530800)</f>
        <v>530800</v>
      </c>
      <c r="N65" s="230">
        <f ca="1">IFERROR(__xludf.DUMMYFUNCTION("IMPORTRANGE(""https://docs.google.com/spreadsheets/d/1-uDff_7J0KD5mKrp0Vvzr7lt3OU09vwQwhkpOPPYv2Y/edit?usp=sharing"",""งบพรบ!AJ27"")"),430176.47)</f>
        <v>430176.47</v>
      </c>
      <c r="O65" s="230">
        <f t="shared" ca="1" si="30"/>
        <v>81.043042577241906</v>
      </c>
      <c r="P65" s="230">
        <f t="shared" ca="1" si="31"/>
        <v>81.043042577241906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IFERROR(__xludf.DUMMYFUNCTION("IMPORTRANGE(""https://docs.google.com/spreadsheets/d/1-uDff_7J0KD5mKrp0Vvzr7lt3OU09vwQwhkpOPPYv2Y/edit?usp=sharing"",""งบพรบ!AF27"")"),0)</f>
        <v>0</v>
      </c>
      <c r="M68" s="461">
        <f ca="1">IFERROR(__xludf.DUMMYFUNCTION("IMPORTRANGE(""https://docs.google.com/spreadsheets/d/1-uDff_7J0KD5mKrp0Vvzr7lt3OU09vwQwhkpOPPYv2Y/edit?usp=sharing"",""งบพรบ!AI27"")"),0)</f>
        <v>0</v>
      </c>
      <c r="N68" s="461">
        <f ca="1">IFERROR(__xludf.DUMMYFUNCTION("IMPORTRANGE(""https://docs.google.com/spreadsheets/d/1-uDff_7J0KD5mKrp0Vvzr7lt3OU09vwQwhkpOPPYv2Y/edit?usp=sharing"",""งบพรบ!AK27"")"),0)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35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523500</v>
      </c>
      <c r="M73" s="515">
        <f t="shared" ca="1" si="43"/>
        <v>523500</v>
      </c>
      <c r="N73" s="515">
        <f t="shared" ca="1" si="43"/>
        <v>209409.94</v>
      </c>
      <c r="O73" s="515">
        <f t="shared" ref="O73:O81" ca="1" si="44">IF(L73&gt;0,N73*100/L73,0)</f>
        <v>40.001898758357214</v>
      </c>
      <c r="P73" s="515">
        <f t="shared" ref="P73:P81" ca="1" si="45">IF(M73&gt;0,N73*100/M73,0)</f>
        <v>40.001898758357214</v>
      </c>
      <c r="Q73" s="515">
        <f t="shared" ref="Q73:S73" ca="1" si="46">Q74+Q75</f>
        <v>400800</v>
      </c>
      <c r="R73" s="515">
        <f t="shared" ca="1" si="46"/>
        <v>400800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523500</v>
      </c>
      <c r="M75" s="230">
        <f t="shared" ca="1" si="49"/>
        <v>523500</v>
      </c>
      <c r="N75" s="230">
        <f t="shared" ca="1" si="49"/>
        <v>209409.94</v>
      </c>
      <c r="O75" s="230">
        <f t="shared" ca="1" si="44"/>
        <v>40.001898758357214</v>
      </c>
      <c r="P75" s="230">
        <f t="shared" ca="1" si="45"/>
        <v>40.001898758357214</v>
      </c>
      <c r="Q75" s="230">
        <f t="shared" ca="1" si="50"/>
        <v>400800</v>
      </c>
      <c r="R75" s="230">
        <f t="shared" ca="1" si="50"/>
        <v>400800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523500</v>
      </c>
      <c r="M76" s="230">
        <f t="shared" ca="1" si="51"/>
        <v>523500</v>
      </c>
      <c r="N76" s="230">
        <f t="shared" ca="1" si="51"/>
        <v>209409.94</v>
      </c>
      <c r="O76" s="230">
        <f t="shared" ca="1" si="44"/>
        <v>40.001898758357214</v>
      </c>
      <c r="P76" s="230">
        <f t="shared" ca="1" si="45"/>
        <v>40.001898758357214</v>
      </c>
      <c r="Q76" s="230">
        <f t="shared" ref="Q76:S76" ca="1" si="52">Q77+Q78</f>
        <v>400800</v>
      </c>
      <c r="R76" s="230">
        <f t="shared" ca="1" si="52"/>
        <v>400800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IFERROR(__xludf.DUMMYFUNCTION("IMPORTRANGE(""https://docs.google.com/spreadsheets/d/1-uDff_7J0KD5mKrp0Vvzr7lt3OU09vwQwhkpOPPYv2Y/edit?usp=sharing"",""งบพรบ!AM27"")"),523500)</f>
        <v>523500</v>
      </c>
      <c r="M78" s="230">
        <f ca="1">IFERROR(__xludf.DUMMYFUNCTION("IMPORTRANGE(""https://docs.google.com/spreadsheets/d/1-uDff_7J0KD5mKrp0Vvzr7lt3OU09vwQwhkpOPPYv2Y/edit?usp=sharing"",""งบพรบ!AR27"")"),523500)</f>
        <v>523500</v>
      </c>
      <c r="N78" s="230">
        <f ca="1">IFERROR(__xludf.DUMMYFUNCTION("IMPORTRANGE(""https://docs.google.com/spreadsheets/d/1-uDff_7J0KD5mKrp0Vvzr7lt3OU09vwQwhkpOPPYv2Y/edit?usp=sharing"",""งบพรบ!AT27"")"),209409.94)</f>
        <v>209409.94</v>
      </c>
      <c r="O78" s="230">
        <f t="shared" ca="1" si="44"/>
        <v>40.001898758357214</v>
      </c>
      <c r="P78" s="230">
        <f t="shared" ca="1" si="45"/>
        <v>40.001898758357214</v>
      </c>
      <c r="Q78" s="230">
        <f ca="1">IFERROR(__xludf.DUMMYFUNCTION("IMPORTRANGE(""https://docs.google.com/spreadsheets/d/1ItG2mGa2ceCfYo0BwxsXqNm01IGEUdYcSSLTEv9YCik/edit?usp=sharing"",""เบิกจ่ายกองทุน!AS27"")"),400800)</f>
        <v>400800</v>
      </c>
      <c r="R78" s="230">
        <f ca="1">IFERROR(__xludf.DUMMYFUNCTION("IMPORTRANGE(""https://docs.google.com/spreadsheets/d/1ItG2mGa2ceCfYo0BwxsXqNm01IGEUdYcSSLTEv9YCik/edit?usp=sharing"",""เบิกจ่ายกองทุน!AT27"")"),400800)</f>
        <v>400800</v>
      </c>
      <c r="S78" s="230">
        <f ca="1">IFERROR(__xludf.DUMMYFUNCTION("IMPORTRANGE(""https://docs.google.com/spreadsheets/d/1ItG2mGa2ceCfYo0BwxsXqNm01IGEUdYcSSLTEv9YCik/edit?usp=sharing"",""เบิกจ่ายกองทุน!AU27"")"),0)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IFERROR(__xludf.DUMMYFUNCTION("IMPORTRANGE(""https://docs.google.com/spreadsheets/d/1-uDff_7J0KD5mKrp0Vvzr7lt3OU09vwQwhkpOPPYv2Y/edit?usp=sharing"",""งบพรบ!AP27"")"),0)</f>
        <v>0</v>
      </c>
      <c r="M81" s="230">
        <f ca="1">IFERROR(__xludf.DUMMYFUNCTION("IMPORTRANGE(""https://docs.google.com/spreadsheets/d/1-uDff_7J0KD5mKrp0Vvzr7lt3OU09vwQwhkpOPPYv2Y/edit?usp=sharing"",""งบพรบ!AS27"")"),0)</f>
        <v>0</v>
      </c>
      <c r="N81" s="230">
        <f ca="1">IFERROR(__xludf.DUMMYFUNCTION("IMPORTRANGE(""https://docs.google.com/spreadsheets/d/1-uDff_7J0KD5mKrp0Vvzr7lt3OU09vwQwhkpOPPYv2Y/edit?usp=sharing"",""งบพรบ!AU27"")"),0)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35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IFERROR(__xludf.DUMMYFUNCTION("IMPORTRANGE(""https://docs.google.com/spreadsheets/d/1eHaY18a8A9IcSdp1K8H6x8fbOy06t2VsZHhMHf-1x7Y/edit?usp=sharing"",""แผน!H27"")"),0)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IFERROR(__xludf.DUMMYFUNCTION("IMPORTRANGE(""https://docs.google.com/spreadsheets/d/1eHaY18a8A9IcSdp1K8H6x8fbOy06t2VsZHhMHf-1x7Y/edit?usp=sharing"",""แผน!I27"")"),0)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IFERROR(__xludf.DUMMYFUNCTION("IMPORTRANGE(""https://docs.google.com/spreadsheets/d/1eHaY18a8A9IcSdp1K8H6x8fbOy06t2VsZHhMHf-1x7Y/edit?usp=sharing"",""แผน!F27"")"),0)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IFERROR(__xludf.DUMMYFUNCTION("IMPORTRANGE(""https://docs.google.com/spreadsheets/d/1eHaY18a8A9IcSdp1K8H6x8fbOy06t2VsZHhMHf-1x7Y/edit?usp=sharing"",""แผน!G27"")"),0)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IFERROR(__xludf.DUMMYFUNCTION("IMPORTRANGE(""https://docs.google.com/spreadsheets/d/1eHaY18a8A9IcSdp1K8H6x8fbOy06t2VsZHhMHf-1x7Y/edit?usp=sharing"",""แผน!D27"")"),1)</f>
        <v>1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IFERROR(__xludf.DUMMYFUNCTION("IMPORTRANGE(""https://docs.google.com/spreadsheets/d/1eHaY18a8A9IcSdp1K8H6x8fbOy06t2VsZHhMHf-1x7Y/edit?usp=sharing"",""แผน!E27"")"),35)</f>
        <v>35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IFERROR(__xludf.DUMMYFUNCTION("IMPORTRANGE(""https://docs.google.com/spreadsheets/d/1eHaY18a8A9IcSdp1K8H6x8fbOy06t2VsZHhMHf-1x7Y/edit?usp=sharing"",""แผน!J27"")"),1)</f>
        <v>1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30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10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136300</v>
      </c>
      <c r="M95" s="515">
        <f t="shared" ca="1" si="59"/>
        <v>61000</v>
      </c>
      <c r="N95" s="515">
        <f t="shared" ca="1" si="59"/>
        <v>48570</v>
      </c>
      <c r="O95" s="515">
        <f t="shared" ref="O95:O103" ca="1" si="60">IF(L95&gt;0,N95*100/L95,0)</f>
        <v>35.634629493763754</v>
      </c>
      <c r="P95" s="515">
        <f t="shared" ref="P95:P103" ca="1" si="61">IF(M95&gt;0,N95*100/M95,0)</f>
        <v>79.622950819672127</v>
      </c>
      <c r="Q95" s="515">
        <f t="shared" ref="Q95:S95" ca="1" si="62">Q96+Q97</f>
        <v>84420</v>
      </c>
      <c r="R95" s="515">
        <f t="shared" ca="1" si="62"/>
        <v>84420</v>
      </c>
      <c r="S95" s="515">
        <f t="shared" ca="1" si="62"/>
        <v>5880</v>
      </c>
      <c r="T95" s="515">
        <f t="shared" ref="T95:T103" ca="1" si="63">IF(Q95&gt;0,S95*100/Q95,0)</f>
        <v>6.9651741293532341</v>
      </c>
      <c r="U95" s="515">
        <f t="shared" ref="U95:U103" ca="1" si="64">IF(R95&gt;0,S95*100/R95,0)</f>
        <v>6.9651741293532341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136300</v>
      </c>
      <c r="M97" s="230">
        <f t="shared" ca="1" si="65"/>
        <v>61000</v>
      </c>
      <c r="N97" s="230">
        <f t="shared" ca="1" si="65"/>
        <v>48570</v>
      </c>
      <c r="O97" s="230">
        <f t="shared" ca="1" si="60"/>
        <v>35.634629493763754</v>
      </c>
      <c r="P97" s="230">
        <f t="shared" ca="1" si="61"/>
        <v>79.622950819672127</v>
      </c>
      <c r="Q97" s="230">
        <f t="shared" ca="1" si="66"/>
        <v>84420</v>
      </c>
      <c r="R97" s="230">
        <f t="shared" ca="1" si="66"/>
        <v>84420</v>
      </c>
      <c r="S97" s="230">
        <f t="shared" ca="1" si="66"/>
        <v>5880</v>
      </c>
      <c r="T97" s="230">
        <f t="shared" ca="1" si="63"/>
        <v>6.9651741293532341</v>
      </c>
      <c r="U97" s="230">
        <f t="shared" ca="1" si="64"/>
        <v>6.9651741293532341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136300</v>
      </c>
      <c r="M98" s="230">
        <f t="shared" ca="1" si="67"/>
        <v>61000</v>
      </c>
      <c r="N98" s="230">
        <f t="shared" ca="1" si="67"/>
        <v>48570</v>
      </c>
      <c r="O98" s="230">
        <f t="shared" ca="1" si="60"/>
        <v>35.634629493763754</v>
      </c>
      <c r="P98" s="230">
        <f t="shared" ca="1" si="61"/>
        <v>79.622950819672127</v>
      </c>
      <c r="Q98" s="230">
        <f t="shared" ref="Q98:S98" ca="1" si="68">Q99+Q100</f>
        <v>84420</v>
      </c>
      <c r="R98" s="230">
        <f t="shared" ca="1" si="68"/>
        <v>84420</v>
      </c>
      <c r="S98" s="230">
        <f t="shared" ca="1" si="68"/>
        <v>5880</v>
      </c>
      <c r="T98" s="230">
        <f t="shared" ca="1" si="63"/>
        <v>6.9651741293532341</v>
      </c>
      <c r="U98" s="230">
        <f t="shared" ca="1" si="64"/>
        <v>6.9651741293532341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IFERROR(__xludf.DUMMYFUNCTION("IMPORTRANGE(""https://docs.google.com/spreadsheets/d/1-uDff_7J0KD5mKrp0Vvzr7lt3OU09vwQwhkpOPPYv2Y/edit?usp=sharing"",""งบพรบ!AW27"")"),136300)</f>
        <v>136300</v>
      </c>
      <c r="M100" s="230">
        <f ca="1">IFERROR(__xludf.DUMMYFUNCTION("IMPORTRANGE(""https://docs.google.com/spreadsheets/d/1-uDff_7J0KD5mKrp0Vvzr7lt3OU09vwQwhkpOPPYv2Y/edit?usp=sharing"",""งบพรบ!BB27"")"),61000)</f>
        <v>61000</v>
      </c>
      <c r="N100" s="230">
        <f ca="1">IFERROR(__xludf.DUMMYFUNCTION("IMPORTRANGE(""https://docs.google.com/spreadsheets/d/1-uDff_7J0KD5mKrp0Vvzr7lt3OU09vwQwhkpOPPYv2Y/edit?usp=sharing"",""งบพรบ!BD27"")"),48570)</f>
        <v>48570</v>
      </c>
      <c r="O100" s="230">
        <f t="shared" ca="1" si="60"/>
        <v>35.634629493763754</v>
      </c>
      <c r="P100" s="230">
        <f t="shared" ca="1" si="61"/>
        <v>79.622950819672127</v>
      </c>
      <c r="Q100" s="230">
        <f ca="1">IFERROR(__xludf.DUMMYFUNCTION("IMPORTRANGE(""https://docs.google.com/spreadsheets/d/1ItG2mGa2ceCfYo0BwxsXqNm01IGEUdYcSSLTEv9YCik/edit?usp=sharing"",""เบิกจ่ายกองทุน!AD27"")"),84420)</f>
        <v>84420</v>
      </c>
      <c r="R100" s="230">
        <f ca="1">IFERROR(__xludf.DUMMYFUNCTION("IMPORTRANGE(""https://docs.google.com/spreadsheets/d/1ItG2mGa2ceCfYo0BwxsXqNm01IGEUdYcSSLTEv9YCik/edit?usp=sharing"",""เบิกจ่ายกองทุน!AE27"")"),84420)</f>
        <v>84420</v>
      </c>
      <c r="S100" s="230">
        <f ca="1">IFERROR(__xludf.DUMMYFUNCTION("IMPORTRANGE(""https://docs.google.com/spreadsheets/d/1ItG2mGa2ceCfYo0BwxsXqNm01IGEUdYcSSLTEv9YCik/edit?usp=sharing"",""เบิกจ่ายกองทุน!AF27"")"),5880)</f>
        <v>5880</v>
      </c>
      <c r="T100" s="230">
        <f t="shared" ca="1" si="63"/>
        <v>6.9651741293532341</v>
      </c>
      <c r="U100" s="230">
        <f t="shared" ca="1" si="64"/>
        <v>6.9651741293532341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IFERROR(__xludf.DUMMYFUNCTION("IMPORTRANGE(""https://docs.google.com/spreadsheets/d/1-uDff_7J0KD5mKrp0Vvzr7lt3OU09vwQwhkpOPPYv2Y/edit?usp=sharing"",""งบพรบ!AZ27"")"),0)</f>
        <v>0</v>
      </c>
      <c r="M103" s="230">
        <f ca="1">IFERROR(__xludf.DUMMYFUNCTION("IMPORTRANGE(""https://docs.google.com/spreadsheets/d/1-uDff_7J0KD5mKrp0Vvzr7lt3OU09vwQwhkpOPPYv2Y/edit?usp=sharing"",""งบพรบ!BC27"")"),0)</f>
        <v>0</v>
      </c>
      <c r="N103" s="230">
        <f ca="1">IFERROR(__xludf.DUMMYFUNCTION("IMPORTRANGE(""https://docs.google.com/spreadsheets/d/1-uDff_7J0KD5mKrp0Vvzr7lt3OU09vwQwhkpOPPYv2Y/edit?usp=sharing"",""งบพรบ!BE27"")"),0)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IFERROR(__xludf.DUMMYFUNCTION("IMPORTRANGE(""https://docs.google.com/spreadsheets/d/1eHaY18a8A9IcSdp1K8H6x8fbOy06t2VsZHhMHf-1x7Y/edit?usp=sharing"",""แผน!N27"")"),30)</f>
        <v>30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IFERROR(__xludf.DUMMYFUNCTION("IMPORTRANGE(""https://docs.google.com/spreadsheets/d/1eHaY18a8A9IcSdp1K8H6x8fbOy06t2VsZHhMHf-1x7Y/edit?usp=sharing"",""แผน!O27"")"),10)</f>
        <v>10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IFERROR(__xludf.DUMMYFUNCTION("IMPORTRANGE(""https://docs.google.com/spreadsheets/d/1eHaY18a8A9IcSdp1K8H6x8fbOy06t2VsZHhMHf-1x7Y/edit?usp=sharing"",""แผน!S27"")"),0)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IFERROR(__xludf.DUMMYFUNCTION("IMPORTRANGE(""https://docs.google.com/spreadsheets/d/1eHaY18a8A9IcSdp1K8H6x8fbOy06t2VsZHhMHf-1x7Y/edit?usp=sharing"",""แผน!R27"")"),10)</f>
        <v>10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50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284520</v>
      </c>
      <c r="R118" s="515">
        <f t="shared" ca="1" si="77"/>
        <v>284520</v>
      </c>
      <c r="S118" s="515">
        <f t="shared" ca="1" si="77"/>
        <v>0</v>
      </c>
      <c r="T118" s="515">
        <f t="shared" ref="T118:T126" ca="1" si="78">IF(Q118&gt;0,S118*100/Q118,0)</f>
        <v>0</v>
      </c>
      <c r="U118" s="515">
        <f t="shared" ref="U118:U126" ca="1" si="79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284520</v>
      </c>
      <c r="R120" s="230">
        <f t="shared" ca="1" si="81"/>
        <v>284520</v>
      </c>
      <c r="S120" s="230">
        <f t="shared" ca="1" si="81"/>
        <v>0</v>
      </c>
      <c r="T120" s="230">
        <f t="shared" ca="1" si="78"/>
        <v>0</v>
      </c>
      <c r="U120" s="230">
        <f t="shared" ca="1" si="79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284520</v>
      </c>
      <c r="R121" s="230">
        <f t="shared" ca="1" si="83"/>
        <v>284520</v>
      </c>
      <c r="S121" s="230">
        <f t="shared" ca="1" si="83"/>
        <v>0</v>
      </c>
      <c r="T121" s="230">
        <f t="shared" ca="1" si="78"/>
        <v>0</v>
      </c>
      <c r="U121" s="230">
        <f t="shared" ca="1" si="79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IFERROR(__xludf.DUMMYFUNCTION("IMPORTRANGE(""https://docs.google.com/spreadsheets/d/1-uDff_7J0KD5mKrp0Vvzr7lt3OU09vwQwhkpOPPYv2Y/edit?usp=sharing"",""งบพรบ!BG27"")"),0)</f>
        <v>0</v>
      </c>
      <c r="M123" s="230">
        <f ca="1">IFERROR(__xludf.DUMMYFUNCTION("IMPORTRANGE(""https://docs.google.com/spreadsheets/d/1-uDff_7J0KD5mKrp0Vvzr7lt3OU09vwQwhkpOPPYv2Y/edit?usp=sharing"",""งบพรบ!BL27"")"),0)</f>
        <v>0</v>
      </c>
      <c r="N123" s="230">
        <f ca="1">IFERROR(__xludf.DUMMYFUNCTION("IMPORTRANGE(""https://docs.google.com/spreadsheets/d/1-uDff_7J0KD5mKrp0Vvzr7lt3OU09vwQwhkpOPPYv2Y/edit?usp=sharing"",""งบพรบ!BN27"")"),0)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IFERROR(__xludf.DUMMYFUNCTION("IMPORTRANGE(""https://docs.google.com/spreadsheets/d/1ItG2mGa2ceCfYo0BwxsXqNm01IGEUdYcSSLTEv9YCik/edit?usp=sharing"",""เบิกจ่ายกองทุน!R27"")"),284520)</f>
        <v>284520</v>
      </c>
      <c r="R123" s="230">
        <f ca="1">IFERROR(__xludf.DUMMYFUNCTION("IMPORTRANGE(""https://docs.google.com/spreadsheets/d/1ItG2mGa2ceCfYo0BwxsXqNm01IGEUdYcSSLTEv9YCik/edit?usp=sharing"",""เบิกจ่ายกองทุน!S27"")"),284520)</f>
        <v>284520</v>
      </c>
      <c r="S123" s="230">
        <f ca="1">IFERROR(__xludf.DUMMYFUNCTION("IMPORTRANGE(""https://docs.google.com/spreadsheets/d/1ItG2mGa2ceCfYo0BwxsXqNm01IGEUdYcSSLTEv9YCik/edit?usp=sharing"",""เบิกจ่ายกองทุน!T27"")"),0)</f>
        <v>0</v>
      </c>
      <c r="T123" s="230">
        <f t="shared" ca="1" si="78"/>
        <v>0</v>
      </c>
      <c r="U123" s="230">
        <f t="shared" ca="1" si="79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IFERROR(__xludf.DUMMYFUNCTION("IMPORTRANGE(""https://docs.google.com/spreadsheets/d/1-uDff_7J0KD5mKrp0Vvzr7lt3OU09vwQwhkpOPPYv2Y/edit?usp=sharing"",""งบพรบ!BJ27"")"),0)</f>
        <v>0</v>
      </c>
      <c r="M126" s="230">
        <f ca="1">IFERROR(__xludf.DUMMYFUNCTION("IMPORTRANGE(""https://docs.google.com/spreadsheets/d/1-uDff_7J0KD5mKrp0Vvzr7lt3OU09vwQwhkpOPPYv2Y/edit?usp=sharing"",""งบพรบ!BM27"")"),0)</f>
        <v>0</v>
      </c>
      <c r="N126" s="230">
        <f ca="1">IFERROR(__xludf.DUMMYFUNCTION("IMPORTRANGE(""https://docs.google.com/spreadsheets/d/1-uDff_7J0KD5mKrp0Vvzr7lt3OU09vwQwhkpOPPYv2Y/edit?usp=sharing"",""งบพรบ!BO27"")"),0)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IFERROR(__xludf.DUMMYFUNCTION("IMPORTRANGE(""https://docs.google.com/spreadsheets/d/1eHaY18a8A9IcSdp1K8H6x8fbOy06t2VsZHhMHf-1x7Y/edit?usp=sharing"",""แผน!FF27"")"),50)</f>
        <v>50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IFERROR(__xludf.DUMMYFUNCTION("IMPORTRANGE(""https://docs.google.com/spreadsheets/d/1eHaY18a8A9IcSdp1K8H6x8fbOy06t2VsZHhMHf-1x7Y/edit?usp=sharing"",""แผน!FG27"")"),0)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IFERROR(__xludf.DUMMYFUNCTION("IMPORTRANGE(""https://docs.google.com/spreadsheets/d/1eHaY18a8A9IcSdp1K8H6x8fbOy06t2VsZHhMHf-1x7Y/edit?usp=sharing"",""แผน!FH27"")"),20)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IFERROR(__xludf.DUMMYFUNCTION("IMPORTRANGE(""https://docs.google.com/spreadsheets/d/1eHaY18a8A9IcSdp1K8H6x8fbOy06t2VsZHhMHf-1x7Y/edit?usp=sharing"",""แผน!FI27"")"),0)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0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0</v>
      </c>
      <c r="M140" s="515">
        <f t="shared" ca="1" si="90"/>
        <v>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0</v>
      </c>
      <c r="M142" s="230">
        <f t="shared" ca="1" si="96"/>
        <v>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0</v>
      </c>
      <c r="M143" s="230">
        <f t="shared" ca="1" si="98"/>
        <v>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IFERROR(__xludf.DUMMYFUNCTION("IMPORTRANGE(""https://docs.google.com/spreadsheets/d/1-uDff_7J0KD5mKrp0Vvzr7lt3OU09vwQwhkpOPPYv2Y/edit?usp=sharing"",""งบพรบ!BQ27"")"),0)</f>
        <v>0</v>
      </c>
      <c r="M145" s="230">
        <f ca="1">IFERROR(__xludf.DUMMYFUNCTION("IMPORTRANGE(""https://docs.google.com/spreadsheets/d/1-uDff_7J0KD5mKrp0Vvzr7lt3OU09vwQwhkpOPPYv2Y/edit?usp=sharing"",""งบพรบ!BV27"")"),0)</f>
        <v>0</v>
      </c>
      <c r="N145" s="230">
        <f ca="1">IFERROR(__xludf.DUMMYFUNCTION("IMPORTRANGE(""https://docs.google.com/spreadsheets/d/1-uDff_7J0KD5mKrp0Vvzr7lt3OU09vwQwhkpOPPYv2Y/edit?usp=sharing"",""งบพรบ!BX27"")"),0)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IFERROR(__xludf.DUMMYFUNCTION("IMPORTRANGE(""https://docs.google.com/spreadsheets/d/1ItG2mGa2ceCfYo0BwxsXqNm01IGEUdYcSSLTEv9YCik/edit?usp=sharing"",""เบิกจ่ายกองทุน!BB27"")"),0)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IFERROR(__xludf.DUMMYFUNCTION("IMPORTRANGE(""https://docs.google.com/spreadsheets/d/1ItG2mGa2ceCfYo0BwxsXqNm01IGEUdYcSSLTEv9YCik/edit?usp=sharing"",""เบิกจ่ายกองทุน!BC27"")"),0)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IFERROR(__xludf.DUMMYFUNCTION("IMPORTRANGE(""https://docs.google.com/spreadsheets/d/1ItG2mGa2ceCfYo0BwxsXqNm01IGEUdYcSSLTEv9YCik/edit?usp=sharing"",""เบิกจ่ายกองทุน!BD27"")"),0)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IFERROR(__xludf.DUMMYFUNCTION("IMPORTRANGE(""https://docs.google.com/spreadsheets/d/1-uDff_7J0KD5mKrp0Vvzr7lt3OU09vwQwhkpOPPYv2Y/edit?usp=sharing"",""งบพรบ!BT27"")"),0)</f>
        <v>0</v>
      </c>
      <c r="M148" s="230">
        <f ca="1">IFERROR(__xludf.DUMMYFUNCTION("IMPORTRANGE(""https://docs.google.com/spreadsheets/d/1-uDff_7J0KD5mKrp0Vvzr7lt3OU09vwQwhkpOPPYv2Y/edit?usp=sharing"",""งบพรบ!BW27"")"),0)</f>
        <v>0</v>
      </c>
      <c r="N148" s="230">
        <f ca="1">IFERROR(__xludf.DUMMYFUNCTION("IMPORTRANGE(""https://docs.google.com/spreadsheets/d/1-uDff_7J0KD5mKrp0Vvzr7lt3OU09vwQwhkpOPPYv2Y/edit?usp=sharing"",""งบพรบ!BY27"")"),0)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IFERROR(__xludf.DUMMYFUNCTION("IMPORTRANGE(""https://docs.google.com/spreadsheets/d/1eHaY18a8A9IcSdp1K8H6x8fbOy06t2VsZHhMHf-1x7Y/edit?usp=sharing"",""แผน!U27"")"),0)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IFERROR(__xludf.DUMMYFUNCTION("IMPORTRANGE(""https://docs.google.com/spreadsheets/d/1eHaY18a8A9IcSdp1K8H6x8fbOy06t2VsZHhMHf-1x7Y/edit?usp=sharing"",""แผน!V27"")"),0)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IFERROR(__xludf.DUMMYFUNCTION("IMPORTRANGE(""https://docs.google.com/spreadsheets/d/1eHaY18a8A9IcSdp1K8H6x8fbOy06t2VsZHhMHf-1x7Y/edit?usp=sharing"",""แผน!W27"")"),0)</f>
        <v>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IFERROR(__xludf.DUMMYFUNCTION("IMPORTRANGE(""https://docs.google.com/spreadsheets/d/1eHaY18a8A9IcSdp1K8H6x8fbOy06t2VsZHhMHf-1x7Y/edit?usp=sharing"",""แผน!X27"")"),0)</f>
        <v>0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IFERROR(__xludf.DUMMYFUNCTION("IMPORTRANGE(""https://docs.google.com/spreadsheets/d/1eHaY18a8A9IcSdp1K8H6x8fbOy06t2VsZHhMHf-1x7Y/edit?usp=sharing"",""แผน!Y27"")"),0)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I168</f>
        <v>10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3000</v>
      </c>
      <c r="M158" s="515">
        <f t="shared" ca="1" si="104"/>
        <v>2250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3000</v>
      </c>
      <c r="M160" s="230">
        <f t="shared" ca="1" si="110"/>
        <v>2250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3000</v>
      </c>
      <c r="M161" s="230">
        <f t="shared" ca="1" si="112"/>
        <v>2250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IFERROR(__xludf.DUMMYFUNCTION("IMPORTRANGE(""https://docs.google.com/spreadsheets/d/1-uDff_7J0KD5mKrp0Vvzr7lt3OU09vwQwhkpOPPYv2Y/edit?usp=sharing"",""งบพรบ!CA27"")"),3000)</f>
        <v>3000</v>
      </c>
      <c r="M163" s="230">
        <f ca="1">IFERROR(__xludf.DUMMYFUNCTION("IMPORTRANGE(""https://docs.google.com/spreadsheets/d/1-uDff_7J0KD5mKrp0Vvzr7lt3OU09vwQwhkpOPPYv2Y/edit?usp=sharing"",""งบพรบ!CF27"")"),2250)</f>
        <v>2250</v>
      </c>
      <c r="N163" s="230">
        <f ca="1">IFERROR(__xludf.DUMMYFUNCTION("IMPORTRANGE(""https://docs.google.com/spreadsheets/d/1-uDff_7J0KD5mKrp0Vvzr7lt3OU09vwQwhkpOPPYv2Y/edit?usp=sharing"",""งบพรบ!CH27"")"),0)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IFERROR(__xludf.DUMMYFUNCTION("IMPORTRANGE(""https://docs.google.com/spreadsheets/d/1ItG2mGa2ceCfYo0BwxsXqNm01IGEUdYcSSLTEv9YCik/edit?usp=sharing"",""เบิกจ่ายกองทุน!AG27"")"),0)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IFERROR(__xludf.DUMMYFUNCTION("IMPORTRANGE(""https://docs.google.com/spreadsheets/d/1ItG2mGa2ceCfYo0BwxsXqNm01IGEUdYcSSLTEv9YCik/edit?usp=sharing"",""เบิกจ่ายกองทุน!AH27"")"),0)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IFERROR(__xludf.DUMMYFUNCTION("IMPORTRANGE(""https://docs.google.com/spreadsheets/d/1ItG2mGa2ceCfYo0BwxsXqNm01IGEUdYcSSLTEv9YCik/edit?usp=sharing"",""เบิกจ่ายกองทุน!AI27"")"),0)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IFERROR(__xludf.DUMMYFUNCTION("IMPORTRANGE(""https://docs.google.com/spreadsheets/d/1-uDff_7J0KD5mKrp0Vvzr7lt3OU09vwQwhkpOPPYv2Y/edit?usp=sharing"",""งบพรบ!CD27"")"),0)</f>
        <v>0</v>
      </c>
      <c r="M166" s="230">
        <f ca="1">IFERROR(__xludf.DUMMYFUNCTION("IMPORTRANGE(""https://docs.google.com/spreadsheets/d/1-uDff_7J0KD5mKrp0Vvzr7lt3OU09vwQwhkpOPPYv2Y/edit?usp=sharing"",""งบพรบ!CG27"")"),0)</f>
        <v>0</v>
      </c>
      <c r="N166" s="230">
        <f ca="1">IFERROR(__xludf.DUMMYFUNCTION("IMPORTRANGE(""https://docs.google.com/spreadsheets/d/1-uDff_7J0KD5mKrp0Vvzr7lt3OU09vwQwhkpOPPYv2Y/edit?usp=sharing"",""งบพรบ!CI27"")"),0)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IFERROR(__xludf.DUMMYFUNCTION("IMPORTRANGE(""https://docs.google.com/spreadsheets/d/1eHaY18a8A9IcSdp1K8H6x8fbOy06t2VsZHhMHf-1x7Y/edit?usp=sharing"",""แผน!Z27"")"),10)</f>
        <v>10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130770</v>
      </c>
      <c r="N174" s="515">
        <f t="shared" ca="1" si="118"/>
        <v>100490</v>
      </c>
      <c r="O174" s="515">
        <f t="shared" ref="O174:O182" ca="1" si="119">IF(L174&gt;0,N174*100/L174,0)</f>
        <v>512.96579887697806</v>
      </c>
      <c r="P174" s="515">
        <f t="shared" ref="P174:P182" ca="1" si="120">IF(M174&gt;0,N174*100/M174,0)</f>
        <v>76.844842089164175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130770</v>
      </c>
      <c r="N176" s="230">
        <f t="shared" ca="1" si="124"/>
        <v>100490</v>
      </c>
      <c r="O176" s="230">
        <f t="shared" ca="1" si="119"/>
        <v>512.96579887697806</v>
      </c>
      <c r="P176" s="230">
        <f t="shared" ca="1" si="120"/>
        <v>76.844842089164175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130770</v>
      </c>
      <c r="N177" s="230">
        <f t="shared" ca="1" si="126"/>
        <v>100490</v>
      </c>
      <c r="O177" s="230">
        <f t="shared" ca="1" si="119"/>
        <v>512.96579887697806</v>
      </c>
      <c r="P177" s="230">
        <f t="shared" ca="1" si="120"/>
        <v>76.844842089164175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IFERROR(__xludf.DUMMYFUNCTION("IMPORTRANGE(""https://docs.google.com/spreadsheets/d/1-uDff_7J0KD5mKrp0Vvzr7lt3OU09vwQwhkpOPPYv2Y/edit?usp=sharing"",""งบพรบ!CK27"")"),19590)</f>
        <v>19590</v>
      </c>
      <c r="M179" s="230">
        <f ca="1">IFERROR(__xludf.DUMMYFUNCTION("IMPORTRANGE(""https://docs.google.com/spreadsheets/d/1-uDff_7J0KD5mKrp0Vvzr7lt3OU09vwQwhkpOPPYv2Y/edit?usp=sharing"",""งบพรบ!CP27"")"),130770)</f>
        <v>130770</v>
      </c>
      <c r="N179" s="230">
        <f ca="1">IFERROR(__xludf.DUMMYFUNCTION("IMPORTRANGE(""https://docs.google.com/spreadsheets/d/1-uDff_7J0KD5mKrp0Vvzr7lt3OU09vwQwhkpOPPYv2Y/edit?usp=sharing"",""งบพรบ!CR27"")"),100490)</f>
        <v>100490</v>
      </c>
      <c r="O179" s="230">
        <f t="shared" ca="1" si="119"/>
        <v>512.96579887697806</v>
      </c>
      <c r="P179" s="230">
        <f t="shared" ca="1" si="120"/>
        <v>76.844842089164175</v>
      </c>
      <c r="Q179" s="230">
        <f ca="1">IFERROR(__xludf.DUMMYFUNCTION("IMPORTRANGE(""https://docs.google.com/spreadsheets/d/1ItG2mGa2ceCfYo0BwxsXqNm01IGEUdYcSSLTEv9YCik/edit?usp=sharing"",""เบิกจ่ายกองทุน!BE27"")"),0)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IFERROR(__xludf.DUMMYFUNCTION("IMPORTRANGE(""https://docs.google.com/spreadsheets/d/1ItG2mGa2ceCfYo0BwxsXqNm01IGEUdYcSSLTEv9YCik/edit?usp=sharing"",""เบิกจ่ายกองทุน!BF27"")"),0)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IFERROR(__xludf.DUMMYFUNCTION("IMPORTRANGE(""https://docs.google.com/spreadsheets/d/1ItG2mGa2ceCfYo0BwxsXqNm01IGEUdYcSSLTEv9YCik/edit?usp=sharing"",""เบิกจ่ายกองทุน!BG27"")"),0)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IFERROR(__xludf.DUMMYFUNCTION("IMPORTRANGE(""https://docs.google.com/spreadsheets/d/1-uDff_7J0KD5mKrp0Vvzr7lt3OU09vwQwhkpOPPYv2Y/edit?usp=sharing"",""งบพรบ!CN27"")"),0)</f>
        <v>0</v>
      </c>
      <c r="M182" s="230">
        <f ca="1">IFERROR(__xludf.DUMMYFUNCTION("IMPORTRANGE(""https://docs.google.com/spreadsheets/d/1-uDff_7J0KD5mKrp0Vvzr7lt3OU09vwQwhkpOPPYv2Y/edit?usp=sharing"",""งบพรบ!CQ27"")"),0)</f>
        <v>0</v>
      </c>
      <c r="N182" s="230">
        <f ca="1">IFERROR(__xludf.DUMMYFUNCTION("IMPORTRANGE(""https://docs.google.com/spreadsheets/d/1-uDff_7J0KD5mKrp0Vvzr7lt3OU09vwQwhkpOPPYv2Y/edit?usp=sharing"",""งบพรบ!CS27"")"),0)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IFERROR(__xludf.DUMMYFUNCTION("IMPORTRANGE(""https://docs.google.com/spreadsheets/d/1eHaY18a8A9IcSdp1K8H6x8fbOy06t2VsZHhMHf-1x7Y/edit?usp=sharing"",""แผน!AA27"")"),7)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40</v>
      </c>
      <c r="J186" s="534">
        <f t="shared" si="131"/>
        <v>10</v>
      </c>
      <c r="K186" s="535">
        <f t="shared" ca="1" si="130"/>
        <v>25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452600</v>
      </c>
      <c r="M187" s="515">
        <f t="shared" ca="1" si="132"/>
        <v>444800</v>
      </c>
      <c r="N187" s="515">
        <f t="shared" ca="1" si="132"/>
        <v>179635</v>
      </c>
      <c r="O187" s="515">
        <f t="shared" ref="O187:O195" ca="1" si="133">IF(L187&gt;0,N187*100/L187,0)</f>
        <v>39.689571365444102</v>
      </c>
      <c r="P187" s="515">
        <f t="shared" ref="P187:P195" ca="1" si="134">IF(M187&gt;0,N187*100/M187,0)</f>
        <v>40.38556654676259</v>
      </c>
      <c r="Q187" s="515">
        <f t="shared" ref="Q187:S187" ca="1" si="135">Q188+Q189</f>
        <v>28000</v>
      </c>
      <c r="R187" s="515">
        <f t="shared" ca="1" si="135"/>
        <v>28000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452600</v>
      </c>
      <c r="M189" s="230">
        <f t="shared" ca="1" si="138"/>
        <v>444800</v>
      </c>
      <c r="N189" s="230">
        <f t="shared" ca="1" si="138"/>
        <v>179635</v>
      </c>
      <c r="O189" s="230">
        <f t="shared" ca="1" si="133"/>
        <v>39.689571365444102</v>
      </c>
      <c r="P189" s="230">
        <f t="shared" ca="1" si="134"/>
        <v>40.38556654676259</v>
      </c>
      <c r="Q189" s="230">
        <f t="shared" ca="1" si="139"/>
        <v>28000</v>
      </c>
      <c r="R189" s="230">
        <f t="shared" ca="1" si="139"/>
        <v>28000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452600</v>
      </c>
      <c r="M190" s="230">
        <f t="shared" ca="1" si="140"/>
        <v>444800</v>
      </c>
      <c r="N190" s="230">
        <f t="shared" ca="1" si="140"/>
        <v>179635</v>
      </c>
      <c r="O190" s="230">
        <f t="shared" ca="1" si="133"/>
        <v>39.689571365444102</v>
      </c>
      <c r="P190" s="230">
        <f t="shared" ca="1" si="134"/>
        <v>40.38556654676259</v>
      </c>
      <c r="Q190" s="230">
        <f t="shared" ref="Q190:S190" ca="1" si="141">Q191+Q192</f>
        <v>28000</v>
      </c>
      <c r="R190" s="230">
        <f t="shared" ca="1" si="141"/>
        <v>28000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IFERROR(__xludf.DUMMYFUNCTION("IMPORTRANGE(""https://docs.google.com/spreadsheets/d/1-uDff_7J0KD5mKrp0Vvzr7lt3OU09vwQwhkpOPPYv2Y/edit?usp=sharing"",""งบพรบ!CU27"")"),452600)</f>
        <v>452600</v>
      </c>
      <c r="M192" s="230">
        <f ca="1">IFERROR(__xludf.DUMMYFUNCTION("IMPORTRANGE(""https://docs.google.com/spreadsheets/d/1-uDff_7J0KD5mKrp0Vvzr7lt3OU09vwQwhkpOPPYv2Y/edit?usp=sharing"",""งบพรบ!CZ27"")"),444800)</f>
        <v>444800</v>
      </c>
      <c r="N192" s="230">
        <f ca="1">IFERROR(__xludf.DUMMYFUNCTION("IMPORTRANGE(""https://docs.google.com/spreadsheets/d/1-uDff_7J0KD5mKrp0Vvzr7lt3OU09vwQwhkpOPPYv2Y/edit?usp=sharing"",""งบพรบ!DB27"")"),179635)</f>
        <v>179635</v>
      </c>
      <c r="O192" s="230">
        <f t="shared" ca="1" si="133"/>
        <v>39.689571365444102</v>
      </c>
      <c r="P192" s="230">
        <f t="shared" ca="1" si="134"/>
        <v>40.38556654676259</v>
      </c>
      <c r="Q192" s="230">
        <f ca="1">IFERROR(__xludf.DUMMYFUNCTION("IMPORTRANGE(""https://docs.google.com/spreadsheets/d/1ItG2mGa2ceCfYo0BwxsXqNm01IGEUdYcSSLTEv9YCik/edit?usp=sharing"",""เบิกจ่ายกองทุน!AV27"")"),28000)</f>
        <v>28000</v>
      </c>
      <c r="R192" s="230">
        <f ca="1">IFERROR(__xludf.DUMMYFUNCTION("IMPORTRANGE(""https://docs.google.com/spreadsheets/d/1ItG2mGa2ceCfYo0BwxsXqNm01IGEUdYcSSLTEv9YCik/edit?usp=sharing"",""เบิกจ่ายกองทุน!AW27"")"),28000)</f>
        <v>28000</v>
      </c>
      <c r="S192" s="230">
        <f ca="1">IFERROR(__xludf.DUMMYFUNCTION("IMPORTRANGE(""https://docs.google.com/spreadsheets/d/1ItG2mGa2ceCfYo0BwxsXqNm01IGEUdYcSSLTEv9YCik/edit?usp=sharing"",""เบิกจ่ายกองทุน!AX27"")"),0)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IFERROR(__xludf.DUMMYFUNCTION("IMPORTRANGE(""https://docs.google.com/spreadsheets/d/1-uDff_7J0KD5mKrp0Vvzr7lt3OU09vwQwhkpOPPYv2Y/edit?usp=sharing"",""งบพรบ!CX27"")"),0)</f>
        <v>0</v>
      </c>
      <c r="M195" s="230">
        <f ca="1">IFERROR(__xludf.DUMMYFUNCTION("IMPORTRANGE(""https://docs.google.com/spreadsheets/d/1-uDff_7J0KD5mKrp0Vvzr7lt3OU09vwQwhkpOPPYv2Y/edit?usp=sharing"",""งบพรบ!DA27"")"),0)</f>
        <v>0</v>
      </c>
      <c r="N195" s="230">
        <f ca="1">IFERROR(__xludf.DUMMYFUNCTION("IMPORTRANGE(""https://docs.google.com/spreadsheets/d/1-uDff_7J0KD5mKrp0Vvzr7lt3OU09vwQwhkpOPPYv2Y/edit?usp=sharing"",""งบพรบ!DC27"")"),0)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IFERROR(__xludf.DUMMYFUNCTION("IMPORTRANGE(""https://docs.google.com/spreadsheets/d/1eHaY18a8A9IcSdp1K8H6x8fbOy06t2VsZHhMHf-1x7Y/edit?usp=sharing"",""แผน!AB27"")"),6000)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IFERROR(__xludf.DUMMYFUNCTION("IMPORTRANGE(""https://docs.google.com/spreadsheets/d/1eHaY18a8A9IcSdp1K8H6x8fbOy06t2VsZHhMHf-1x7Y/edit?usp=sharing"",""แผน!AE27"")"),4)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2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31000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IFERROR(__xludf.DUMMYFUNCTION("IMPORTRANGE(""https://docs.google.com/spreadsheets/d/1eHaY18a8A9IcSdp1K8H6x8fbOy06t2VsZHhMHf-1x7Y/edit?usp=sharing"",""แผน!AG27"")"),2000)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IFERROR(__xludf.DUMMYFUNCTION("IMPORTRANGE(""https://docs.google.com/spreadsheets/d/1eHaY18a8A9IcSdp1K8H6x8fbOy06t2VsZHhMHf-1x7Y/edit?usp=sharing"",""แผน!AH27"")"),0)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IFERROR(__xludf.DUMMYFUNCTION("IMPORTRANGE(""https://docs.google.com/spreadsheets/d/1eHaY18a8A9IcSdp1K8H6x8fbOy06t2VsZHhMHf-1x7Y/edit?usp=sharing"",""แผน!AI27"")"),16000)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IFERROR(__xludf.DUMMYFUNCTION("IMPORTRANGE(""https://docs.google.com/spreadsheets/d/1eHaY18a8A9IcSdp1K8H6x8fbOy06t2VsZHhMHf-1x7Y/edit?usp=sharing"",""แผน!AJ27"")"),13000)</f>
        <v>13000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IFERROR(__xludf.DUMMYFUNCTION("IMPORTRANGE(""https://docs.google.com/spreadsheets/d/1eHaY18a8A9IcSdp1K8H6x8fbOy06t2VsZHhMHf-1x7Y/edit?usp=sharing"",""แผน!AK27"")"),2)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IFERROR(__xludf.DUMMYFUNCTION("IMPORTRANGE(""https://docs.google.com/spreadsheets/d/1eHaY18a8A9IcSdp1K8H6x8fbOy06t2VsZHhMHf-1x7Y/edit?usp=sharing"",""แผน!JX27"")"),2)</f>
        <v>2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IFERROR(__xludf.DUMMYFUNCTION("IMPORTRANGE(""https://docs.google.com/spreadsheets/d/1eHaY18a8A9IcSdp1K8H6x8fbOy06t2VsZHhMHf-1x7Y/edit?usp=sharing"",""แผน!JY27"")"),1)</f>
        <v>1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IFERROR(__xludf.DUMMYFUNCTION("IMPORTRANGE(""https://docs.google.com/spreadsheets/d/1eHaY18a8A9IcSdp1K8H6x8fbOy06t2VsZHhMHf-1x7Y/edit?usp=sharing"",""แผน!AM27"")"),0)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IFERROR(__xludf.DUMMYFUNCTION("IMPORTRANGE(""https://docs.google.com/spreadsheets/d/1eHaY18a8A9IcSdp1K8H6x8fbOy06t2VsZHhMHf-1x7Y/edit?usp=sharing"",""แผน!AN27"")"),0)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IFERROR(__xludf.DUMMYFUNCTION("IMPORTRANGE(""https://docs.google.com/spreadsheets/d/1eHaY18a8A9IcSdp1K8H6x8fbOy06t2VsZHhMHf-1x7Y/edit?usp=sharing"",""แผน!AO27"")"),0)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IFERROR(__xludf.DUMMYFUNCTION("IMPORTRANGE(""https://docs.google.com/spreadsheets/d/1eHaY18a8A9IcSdp1K8H6x8fbOy06t2VsZHhMHf-1x7Y/edit?usp=sharing"",""แผน!AP27"")"),0)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IFERROR(__xludf.DUMMYFUNCTION("IMPORTRANGE(""https://docs.google.com/spreadsheets/d/1eHaY18a8A9IcSdp1K8H6x8fbOy06t2VsZHhMHf-1x7Y/edit?usp=sharing"",""แผน!AP27"")"),0)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100000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12500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IFERROR(__xludf.DUMMYFUNCTION("IMPORTRANGE(""https://docs.google.com/spreadsheets/d/1eHaY18a8A9IcSdp1K8H6x8fbOy06t2VsZHhMHf-1x7Y/edit?usp=sharing"",""แผน!AR27"")"),11000)</f>
        <v>11000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IFERROR(__xludf.DUMMYFUNCTION("IMPORTRANGE(""https://docs.google.com/spreadsheets/d/1eHaY18a8A9IcSdp1K8H6x8fbOy06t2VsZHhMHf-1x7Y/edit?usp=sharing"",""แผน!AS27"")"),1500)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IFERROR(__xludf.DUMMYFUNCTION("IMPORTRANGE(""https://docs.google.com/spreadsheets/d/1eHaY18a8A9IcSdp1K8H6x8fbOy06t2VsZHhMHf-1x7Y/edit?usp=sharing"",""แผน!AT27"")"),0)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IFERROR(__xludf.DUMMYFUNCTION("IMPORTRANGE(""https://docs.google.com/spreadsheets/d/1eHaY18a8A9IcSdp1K8H6x8fbOy06t2VsZHhMHf-1x7Y/edit?usp=sharing"",""แผน!AV27"")"),100000)</f>
        <v>100000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IFERROR(__xludf.DUMMYFUNCTION("IMPORTRANGE(""https://docs.google.com/spreadsheets/d/1eHaY18a8A9IcSdp1K8H6x8fbOy06t2VsZHhMHf-1x7Y/edit?usp=sharing"",""แผน!AV27"")"),100000)</f>
        <v>100000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IFERROR(__xludf.DUMMYFUNCTION("IMPORTRANGE(""https://docs.google.com/spreadsheets/d/1eHaY18a8A9IcSdp1K8H6x8fbOy06t2VsZHhMHf-1x7Y/edit?usp=sharing"",""แผน!AU27"")"),0)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722"/>
      <c r="B232" s="723"/>
      <c r="C232" s="545" t="s">
        <v>105</v>
      </c>
      <c r="D232" s="724"/>
      <c r="E232" s="724"/>
      <c r="F232" s="724"/>
      <c r="G232" s="725"/>
      <c r="H232" s="546" t="s">
        <v>35</v>
      </c>
      <c r="I232" s="547">
        <f t="shared" ref="I232:J232" ca="1" si="151">I243+I254</f>
        <v>40</v>
      </c>
      <c r="J232" s="547">
        <f t="shared" si="151"/>
        <v>10</v>
      </c>
      <c r="K232" s="548">
        <f t="shared" ca="1" si="150"/>
        <v>25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584"/>
      <c r="B233" s="585"/>
      <c r="C233" s="549" t="s">
        <v>18</v>
      </c>
      <c r="D233" s="550" t="s">
        <v>19</v>
      </c>
      <c r="E233" s="585"/>
      <c r="F233" s="585"/>
      <c r="G233" s="586"/>
      <c r="H233" s="384" t="s">
        <v>14</v>
      </c>
      <c r="I233" s="597"/>
      <c r="J233" s="597"/>
      <c r="K233" s="598"/>
      <c r="L233" s="543">
        <f t="shared" ref="L233:L237" ca="1" si="152">L244+L255</f>
        <v>403100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584"/>
      <c r="B234" s="726"/>
      <c r="C234" s="585"/>
      <c r="D234" s="542" t="s">
        <v>311</v>
      </c>
      <c r="E234" s="585"/>
      <c r="F234" s="585"/>
      <c r="G234" s="586"/>
      <c r="H234" s="157" t="s">
        <v>14</v>
      </c>
      <c r="I234" s="597"/>
      <c r="J234" s="597"/>
      <c r="K234" s="598"/>
      <c r="L234" s="483">
        <f t="shared" ca="1" si="152"/>
        <v>257900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727"/>
      <c r="B235" s="726"/>
      <c r="C235" s="726"/>
      <c r="D235" s="254" t="s">
        <v>87</v>
      </c>
      <c r="E235" s="585"/>
      <c r="F235" s="585"/>
      <c r="G235" s="586"/>
      <c r="H235" s="157" t="s">
        <v>14</v>
      </c>
      <c r="I235" s="587"/>
      <c r="J235" s="587"/>
      <c r="K235" s="588"/>
      <c r="L235" s="483">
        <f t="shared" ca="1" si="152"/>
        <v>5000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727"/>
      <c r="B236" s="726"/>
      <c r="C236" s="726"/>
      <c r="D236" s="254" t="s">
        <v>88</v>
      </c>
      <c r="E236" s="585"/>
      <c r="F236" s="585"/>
      <c r="G236" s="586"/>
      <c r="H236" s="157" t="s">
        <v>14</v>
      </c>
      <c r="I236" s="587"/>
      <c r="J236" s="587"/>
      <c r="K236" s="588"/>
      <c r="L236" s="483">
        <f t="shared" ca="1" si="152"/>
        <v>87200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727"/>
      <c r="B237" s="726"/>
      <c r="C237" s="726"/>
      <c r="D237" s="254" t="s">
        <v>89</v>
      </c>
      <c r="E237" s="585"/>
      <c r="F237" s="585"/>
      <c r="G237" s="586"/>
      <c r="H237" s="157" t="s">
        <v>14</v>
      </c>
      <c r="I237" s="587"/>
      <c r="J237" s="587"/>
      <c r="K237" s="588"/>
      <c r="L237" s="483">
        <f t="shared" ca="1" si="152"/>
        <v>53000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728"/>
      <c r="B238" s="729"/>
      <c r="C238" s="551" t="s">
        <v>18</v>
      </c>
      <c r="D238" s="552" t="s">
        <v>38</v>
      </c>
      <c r="E238" s="730"/>
      <c r="F238" s="730"/>
      <c r="G238" s="731"/>
      <c r="H238" s="732"/>
      <c r="I238" s="597"/>
      <c r="J238" s="587"/>
      <c r="K238" s="588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728"/>
      <c r="B239" s="729"/>
      <c r="C239" s="729"/>
      <c r="D239" s="180" t="s">
        <v>108</v>
      </c>
      <c r="E239" s="733"/>
      <c r="F239" s="733"/>
      <c r="G239" s="732"/>
      <c r="H239" s="553" t="s">
        <v>35</v>
      </c>
      <c r="I239" s="444">
        <f t="shared" ref="I239:J239" ca="1" si="154">I250+I261</f>
        <v>40</v>
      </c>
      <c r="J239" s="444">
        <f t="shared" si="154"/>
        <v>10</v>
      </c>
      <c r="K239" s="80">
        <f ca="1">IF(I239&gt;0,J239*100/I239,0)</f>
        <v>25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728"/>
      <c r="B240" s="729"/>
      <c r="C240" s="729"/>
      <c r="D240" s="554" t="s">
        <v>43</v>
      </c>
      <c r="E240" s="733"/>
      <c r="F240" s="733"/>
      <c r="G240" s="732"/>
      <c r="H240" s="732"/>
      <c r="I240" s="587"/>
      <c r="J240" s="587"/>
      <c r="K240" s="588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728"/>
      <c r="B241" s="729"/>
      <c r="C241" s="729"/>
      <c r="D241" s="729"/>
      <c r="E241" s="555" t="s">
        <v>109</v>
      </c>
      <c r="F241" s="733"/>
      <c r="G241" s="732"/>
      <c r="H241" s="553" t="s">
        <v>35</v>
      </c>
      <c r="I241" s="444">
        <f t="shared" ref="I241:J242" ca="1" si="155">I252+I263</f>
        <v>40</v>
      </c>
      <c r="J241" s="444">
        <f t="shared" si="155"/>
        <v>0</v>
      </c>
      <c r="K241" s="80">
        <f t="shared" ref="K241:K243" ca="1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728"/>
      <c r="B242" s="729"/>
      <c r="C242" s="729"/>
      <c r="D242" s="729"/>
      <c r="E242" s="555" t="s">
        <v>110</v>
      </c>
      <c r="F242" s="733"/>
      <c r="G242" s="732"/>
      <c r="H242" s="553" t="s">
        <v>61</v>
      </c>
      <c r="I242" s="444">
        <f t="shared" ca="1" si="155"/>
        <v>1</v>
      </c>
      <c r="J242" s="444">
        <f t="shared" si="155"/>
        <v>0</v>
      </c>
      <c r="K242" s="80">
        <f t="shared" ca="1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x14ac:dyDescent="0.3">
      <c r="A243" s="734"/>
      <c r="B243" s="735"/>
      <c r="C243" s="736" t="s">
        <v>329</v>
      </c>
      <c r="D243" s="737"/>
      <c r="E243" s="737"/>
      <c r="F243" s="737"/>
      <c r="G243" s="738"/>
      <c r="H243" s="739" t="s">
        <v>35</v>
      </c>
      <c r="I243" s="740">
        <f t="shared" ref="I243:J243" ca="1" si="157">I250</f>
        <v>40</v>
      </c>
      <c r="J243" s="740">
        <f t="shared" si="157"/>
        <v>10</v>
      </c>
      <c r="K243" s="741">
        <f t="shared" ca="1" si="156"/>
        <v>25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x14ac:dyDescent="0.3">
      <c r="A244" s="574"/>
      <c r="B244" s="575"/>
      <c r="C244" s="576" t="s">
        <v>18</v>
      </c>
      <c r="D244" s="577" t="s">
        <v>19</v>
      </c>
      <c r="E244" s="575"/>
      <c r="F244" s="575"/>
      <c r="G244" s="578"/>
      <c r="H244" s="742" t="s">
        <v>14</v>
      </c>
      <c r="I244" s="595"/>
      <c r="J244" s="595"/>
      <c r="K244" s="596"/>
      <c r="L244" s="514">
        <f ca="1">L245+L246+L247+L248</f>
        <v>403100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x14ac:dyDescent="0.25">
      <c r="A245" s="574"/>
      <c r="B245" s="658"/>
      <c r="C245" s="575"/>
      <c r="D245" s="542" t="s">
        <v>311</v>
      </c>
      <c r="E245" s="575"/>
      <c r="F245" s="575"/>
      <c r="G245" s="578"/>
      <c r="H245" s="594" t="s">
        <v>14</v>
      </c>
      <c r="I245" s="595"/>
      <c r="J245" s="595"/>
      <c r="K245" s="596"/>
      <c r="L245" s="481">
        <f ca="1">IFERROR(__xludf.DUMMYFUNCTION("IMPORTRANGE(""https://docs.google.com/spreadsheets/d/1eHaY18a8A9IcSdp1K8H6x8fbOy06t2VsZHhMHf-1x7Y/edit?usp=sharing"",""แผน!AX27"")"),257900)</f>
        <v>257900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x14ac:dyDescent="0.25">
      <c r="A246" s="743"/>
      <c r="B246" s="658"/>
      <c r="C246" s="658"/>
      <c r="D246" s="254" t="s">
        <v>87</v>
      </c>
      <c r="E246" s="575"/>
      <c r="F246" s="575"/>
      <c r="G246" s="578"/>
      <c r="H246" s="594" t="s">
        <v>14</v>
      </c>
      <c r="I246" s="580"/>
      <c r="J246" s="580"/>
      <c r="K246" s="581"/>
      <c r="L246" s="481">
        <f ca="1">IFERROR(__xludf.DUMMYFUNCTION("IMPORTRANGE(""https://docs.google.com/spreadsheets/d/1eHaY18a8A9IcSdp1K8H6x8fbOy06t2VsZHhMHf-1x7Y/edit?usp=sharing"",""แผน!AY27"")"),5000)</f>
        <v>5000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x14ac:dyDescent="0.25">
      <c r="A247" s="743"/>
      <c r="B247" s="658"/>
      <c r="C247" s="658"/>
      <c r="D247" s="254" t="s">
        <v>88</v>
      </c>
      <c r="E247" s="575"/>
      <c r="F247" s="575"/>
      <c r="G247" s="578"/>
      <c r="H247" s="594" t="s">
        <v>14</v>
      </c>
      <c r="I247" s="580"/>
      <c r="J247" s="580"/>
      <c r="K247" s="581"/>
      <c r="L247" s="481">
        <f ca="1">IFERROR(__xludf.DUMMYFUNCTION("IMPORTRANGE(""https://docs.google.com/spreadsheets/d/1eHaY18a8A9IcSdp1K8H6x8fbOy06t2VsZHhMHf-1x7Y/edit?usp=sharing"",""แผน!AZ27"")"),87200)</f>
        <v>87200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x14ac:dyDescent="0.25">
      <c r="A248" s="743"/>
      <c r="B248" s="658"/>
      <c r="C248" s="658"/>
      <c r="D248" s="254" t="s">
        <v>89</v>
      </c>
      <c r="E248" s="575"/>
      <c r="F248" s="575"/>
      <c r="G248" s="578"/>
      <c r="H248" s="594" t="s">
        <v>14</v>
      </c>
      <c r="I248" s="580"/>
      <c r="J248" s="580"/>
      <c r="K248" s="581"/>
      <c r="L248" s="481">
        <f ca="1">IFERROR(__xludf.DUMMYFUNCTION("IMPORTRANGE(""https://docs.google.com/spreadsheets/d/1eHaY18a8A9IcSdp1K8H6x8fbOy06t2VsZHhMHf-1x7Y/edit?usp=sharing"",""แผน!BA27"")"),53000)</f>
        <v>53000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x14ac:dyDescent="0.3">
      <c r="A249" s="600"/>
      <c r="B249" s="601"/>
      <c r="C249" s="744" t="s">
        <v>18</v>
      </c>
      <c r="D249" s="602" t="s">
        <v>38</v>
      </c>
      <c r="E249" s="567"/>
      <c r="F249" s="567"/>
      <c r="G249" s="568"/>
      <c r="H249" s="603"/>
      <c r="I249" s="595"/>
      <c r="J249" s="580"/>
      <c r="K249" s="581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x14ac:dyDescent="0.25">
      <c r="A250" s="600"/>
      <c r="B250" s="601"/>
      <c r="C250" s="601"/>
      <c r="D250" s="709" t="s">
        <v>108</v>
      </c>
      <c r="E250" s="707"/>
      <c r="F250" s="707"/>
      <c r="G250" s="603"/>
      <c r="H250" s="745" t="s">
        <v>35</v>
      </c>
      <c r="I250" s="661">
        <f ca="1">IFERROR(__xludf.DUMMYFUNCTION("IMPORTRANGE(""https://docs.google.com/spreadsheets/d/1eHaY18a8A9IcSdp1K8H6x8fbOy06t2VsZHhMHf-1x7Y/edit?usp=sharing"",""แผน!BG27"")"),40)</f>
        <v>40</v>
      </c>
      <c r="J250" s="705">
        <v>10</v>
      </c>
      <c r="K250" s="592">
        <f ca="1">IF(I250&gt;0,J250*100/I250,0)</f>
        <v>25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x14ac:dyDescent="0.25">
      <c r="A251" s="600"/>
      <c r="B251" s="601"/>
      <c r="C251" s="601"/>
      <c r="D251" s="746" t="s">
        <v>43</v>
      </c>
      <c r="E251" s="707"/>
      <c r="F251" s="707"/>
      <c r="G251" s="603"/>
      <c r="H251" s="603"/>
      <c r="I251" s="580"/>
      <c r="J251" s="580"/>
      <c r="K251" s="581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x14ac:dyDescent="0.25">
      <c r="A252" s="600"/>
      <c r="B252" s="601"/>
      <c r="C252" s="601"/>
      <c r="D252" s="601"/>
      <c r="E252" s="747" t="s">
        <v>109</v>
      </c>
      <c r="F252" s="707"/>
      <c r="G252" s="603"/>
      <c r="H252" s="745" t="s">
        <v>35</v>
      </c>
      <c r="I252" s="661">
        <f ca="1">IFERROR(__xludf.DUMMYFUNCTION("IMPORTRANGE(""https://docs.google.com/spreadsheets/d/1eHaY18a8A9IcSdp1K8H6x8fbOy06t2VsZHhMHf-1x7Y/edit?usp=sharing"",""แผน!KH27"")"),40)</f>
        <v>40</v>
      </c>
      <c r="J252" s="705">
        <v>0</v>
      </c>
      <c r="K252" s="592">
        <f t="shared" ref="K252:K254" ca="1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x14ac:dyDescent="0.25">
      <c r="A253" s="600"/>
      <c r="B253" s="601"/>
      <c r="C253" s="601"/>
      <c r="D253" s="601"/>
      <c r="E253" s="747" t="s">
        <v>110</v>
      </c>
      <c r="F253" s="707"/>
      <c r="G253" s="603"/>
      <c r="H253" s="745" t="s">
        <v>61</v>
      </c>
      <c r="I253" s="661">
        <f ca="1">IFERROR(__xludf.DUMMYFUNCTION("IMPORTRANGE(""https://docs.google.com/spreadsheets/d/1eHaY18a8A9IcSdp1K8H6x8fbOy06t2VsZHhMHf-1x7Y/edit?usp=sharing"",""แผน!KI27"")"),1)</f>
        <v>1</v>
      </c>
      <c r="J253" s="705">
        <v>0</v>
      </c>
      <c r="K253" s="592">
        <f t="shared" ca="1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542" t="s">
        <v>311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IFERROR(__xludf.DUMMYFUNCTION("IMPORTRANGE(""https://docs.google.com/spreadsheets/d/1eHaY18a8A9IcSdp1K8H6x8fbOy06t2VsZHhMHf-1x7Y/edit?usp=sharing"",""แผน!BB27"")"),0)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254" t="s">
        <v>87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IFERROR(__xludf.DUMMYFUNCTION("IMPORTRANGE(""https://docs.google.com/spreadsheets/d/1eHaY18a8A9IcSdp1K8H6x8fbOy06t2VsZHhMHf-1x7Y/edit?usp=sharing"",""แผน!BC27"")"),0)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254" t="s">
        <v>88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IFERROR(__xludf.DUMMYFUNCTION("IMPORTRANGE(""https://docs.google.com/spreadsheets/d/1eHaY18a8A9IcSdp1K8H6x8fbOy06t2VsZHhMHf-1x7Y/edit?usp=sharing"",""แผน!BD27"")"),0)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254" t="s">
        <v>89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IFERROR(__xludf.DUMMYFUNCTION("IMPORTRANGE(""https://docs.google.com/spreadsheets/d/1eHaY18a8A9IcSdp1K8H6x8fbOy06t2VsZHhMHf-1x7Y/edit?usp=sharing"",""แผน!BE27"")"),0)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IFERROR(__xludf.DUMMYFUNCTION("IMPORTRANGE(""https://docs.google.com/spreadsheets/d/1eHaY18a8A9IcSdp1K8H6x8fbOy06t2VsZHhMHf-1x7Y/edit?usp=sharing"",""แผน!BH27"")"),0)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22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50660</v>
      </c>
      <c r="R267" s="583">
        <f t="shared" ca="1" si="165"/>
        <v>50660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50660</v>
      </c>
      <c r="R269" s="592">
        <f t="shared" ca="1" si="169"/>
        <v>50660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50660</v>
      </c>
      <c r="R270" s="592">
        <f t="shared" ca="1" si="171"/>
        <v>50660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IFERROR(__xludf.DUMMYFUNCTION("IMPORTRANGE(""https://docs.google.com/spreadsheets/d/1-uDff_7J0KD5mKrp0Vvzr7lt3OU09vwQwhkpOPPYv2Y/edit?usp=sharing"",""งบพรบ!DE27"")"),0)</f>
        <v>0</v>
      </c>
      <c r="M272" s="592">
        <f ca="1">IFERROR(__xludf.DUMMYFUNCTION("IMPORTRANGE(""https://docs.google.com/spreadsheets/d/1-uDff_7J0KD5mKrp0Vvzr7lt3OU09vwQwhkpOPPYv2Y/edit?usp=sharing"",""งบพรบ!DJ27"")"),5000)</f>
        <v>5000</v>
      </c>
      <c r="N272" s="592">
        <f ca="1">IFERROR(__xludf.DUMMYFUNCTION("IMPORTRANGE(""https://docs.google.com/spreadsheets/d/1-uDff_7J0KD5mKrp0Vvzr7lt3OU09vwQwhkpOPPYv2Y/edit?usp=sharing"",""งบพรบ!DL27"")"),0)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IFERROR(__xludf.DUMMYFUNCTION("IMPORTRANGE(""https://docs.google.com/spreadsheets/d/1ItG2mGa2ceCfYo0BwxsXqNm01IGEUdYcSSLTEv9YCik/edit?usp=sharing"",""เบิกจ่ายกองทุน!AJ27"")"),50660)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IFERROR(__xludf.DUMMYFUNCTION("IMPORTRANGE(""https://docs.google.com/spreadsheets/d/1ItG2mGa2ceCfYo0BwxsXqNm01IGEUdYcSSLTEv9YCik/edit?usp=sharing"",""เบิกจ่ายกองทุน!AK27"")"),50660)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IFERROR(__xludf.DUMMYFUNCTION("IMPORTRANGE(""https://docs.google.com/spreadsheets/d/1ItG2mGa2ceCfYo0BwxsXqNm01IGEUdYcSSLTEv9YCik/edit?usp=sharing"",""เบิกจ่ายกองทุน!AL27"")"),0)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IFERROR(__xludf.DUMMYFUNCTION("IMPORTRANGE(""https://docs.google.com/spreadsheets/d/1-uDff_7J0KD5mKrp0Vvzr7lt3OU09vwQwhkpOPPYv2Y/edit?usp=sharing"",""งบพรบ!DH27"")"),0)</f>
        <v>0</v>
      </c>
      <c r="M275" s="592">
        <f ca="1">IFERROR(__xludf.DUMMYFUNCTION("IMPORTRANGE(""https://docs.google.com/spreadsheets/d/1-uDff_7J0KD5mKrp0Vvzr7lt3OU09vwQwhkpOPPYv2Y/edit?usp=sharing"",""งบพรบ!DK27"")"),0)</f>
        <v>0</v>
      </c>
      <c r="N275" s="592">
        <f ca="1">IFERROR(__xludf.DUMMYFUNCTION("IMPORTRANGE(""https://docs.google.com/spreadsheets/d/1-uDff_7J0KD5mKrp0Vvzr7lt3OU09vwQwhkpOPPYv2Y/edit?usp=sharing"",""งบพรบ!DM27"")"),0)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IFERROR(__xludf.DUMMYFUNCTION("IMPORTRANGE(""https://docs.google.com/spreadsheets/d/1eHaY18a8A9IcSdp1K8H6x8fbOy06t2VsZHhMHf-1x7Y/edit?usp=sharing"",""แผน!EC27"")"),22)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10</v>
      </c>
      <c r="J281" s="619">
        <f t="shared" si="174"/>
        <v>0</v>
      </c>
      <c r="K281" s="620">
        <f t="shared" ref="K281:K282" ca="1" si="175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100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56120</v>
      </c>
      <c r="M283" s="515">
        <f t="shared" ca="1" si="177"/>
        <v>56120</v>
      </c>
      <c r="N283" s="515">
        <f t="shared" ca="1" si="177"/>
        <v>38380</v>
      </c>
      <c r="O283" s="515">
        <f t="shared" ref="O283:O291" ca="1" si="178">IF(L283&gt;0,N283*100/L283,0)</f>
        <v>68.389166072701357</v>
      </c>
      <c r="P283" s="515">
        <f t="shared" ref="P283:P291" ca="1" si="179">IF(M283&gt;0,N283*100/M283,0)</f>
        <v>68.389166072701357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56120</v>
      </c>
      <c r="M285" s="230">
        <f t="shared" ca="1" si="183"/>
        <v>56120</v>
      </c>
      <c r="N285" s="230">
        <f t="shared" ca="1" si="183"/>
        <v>38380</v>
      </c>
      <c r="O285" s="230">
        <f t="shared" ca="1" si="178"/>
        <v>68.389166072701357</v>
      </c>
      <c r="P285" s="230">
        <f t="shared" ca="1" si="179"/>
        <v>68.389166072701357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56120</v>
      </c>
      <c r="M286" s="230">
        <f t="shared" ca="1" si="185"/>
        <v>56120</v>
      </c>
      <c r="N286" s="230">
        <f t="shared" ca="1" si="185"/>
        <v>38380</v>
      </c>
      <c r="O286" s="230">
        <f t="shared" ca="1" si="178"/>
        <v>68.389166072701357</v>
      </c>
      <c r="P286" s="230">
        <f t="shared" ca="1" si="179"/>
        <v>68.389166072701357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IFERROR(__xludf.DUMMYFUNCTION("IMPORTRANGE(""https://docs.google.com/spreadsheets/d/1-uDff_7J0KD5mKrp0Vvzr7lt3OU09vwQwhkpOPPYv2Y/edit?usp=sharing"",""งบพรบ!DO27"")"),56120)</f>
        <v>56120</v>
      </c>
      <c r="M288" s="230">
        <f ca="1">IFERROR(__xludf.DUMMYFUNCTION("IMPORTRANGE(""https://docs.google.com/spreadsheets/d/1-uDff_7J0KD5mKrp0Vvzr7lt3OU09vwQwhkpOPPYv2Y/edit?usp=sharing"",""งบพรบ!DT27"")"),56120)</f>
        <v>56120</v>
      </c>
      <c r="N288" s="230">
        <f ca="1">IFERROR(__xludf.DUMMYFUNCTION("IMPORTRANGE(""https://docs.google.com/spreadsheets/d/1-uDff_7J0KD5mKrp0Vvzr7lt3OU09vwQwhkpOPPYv2Y/edit?usp=sharing"",""งบพรบ!DV27"")"),38380)</f>
        <v>38380</v>
      </c>
      <c r="O288" s="230">
        <f t="shared" ca="1" si="178"/>
        <v>68.389166072701357</v>
      </c>
      <c r="P288" s="230">
        <f t="shared" ca="1" si="179"/>
        <v>68.389166072701357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IFERROR(__xludf.DUMMYFUNCTION("IMPORTRANGE(""https://docs.google.com/spreadsheets/d/1-uDff_7J0KD5mKrp0Vvzr7lt3OU09vwQwhkpOPPYv2Y/edit?usp=sharing"",""งบพรบ!DR27"")"),0)</f>
        <v>0</v>
      </c>
      <c r="M291" s="230">
        <f ca="1">IFERROR(__xludf.DUMMYFUNCTION("IMPORTRANGE(""https://docs.google.com/spreadsheets/d/1-uDff_7J0KD5mKrp0Vvzr7lt3OU09vwQwhkpOPPYv2Y/edit?usp=sharing"",""งบพรบ!DU27"")"),0)</f>
        <v>0</v>
      </c>
      <c r="N291" s="230">
        <f ca="1">IFERROR(__xludf.DUMMYFUNCTION("IMPORTRANGE(""https://docs.google.com/spreadsheets/d/1-uDff_7J0KD5mKrp0Vvzr7lt3OU09vwQwhkpOPPYv2Y/edit?usp=sharing"",""งบพรบ!DW27"")"),0)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IFERROR(__xludf.DUMMYFUNCTION("IMPORTRANGE(""https://docs.google.com/spreadsheets/d/1eHaY18a8A9IcSdp1K8H6x8fbOy06t2VsZHhMHf-1x7Y/edit?usp=sharing"",""แผน!EE27"")"),100)</f>
        <v>100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IFERROR(__xludf.DUMMYFUNCTION("IMPORTRANGE(""https://docs.google.com/spreadsheets/d/1eHaY18a8A9IcSdp1K8H6x8fbOy06t2VsZHhMHf-1x7Y/edit?usp=sharing"",""แผน!ED27"")"),10)</f>
        <v>10</v>
      </c>
      <c r="J294" s="340">
        <f>J297</f>
        <v>0</v>
      </c>
      <c r="K294" s="518">
        <f t="shared" ca="1" si="189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IFERROR(__xludf.DUMMYFUNCTION("IMPORTRANGE(""https://docs.google.com/spreadsheets/d/1eHaY18a8A9IcSdp1K8H6x8fbOy06t2VsZHhMHf-1x7Y/edit?usp=sharing"",""แผน!ED27"")"),10)</f>
        <v>10</v>
      </c>
      <c r="J296" s="520">
        <v>0</v>
      </c>
      <c r="K296" s="521">
        <f t="shared" ref="K296:K297" ca="1" si="190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IFERROR(__xludf.DUMMYFUNCTION("IMPORTRANGE(""https://docs.google.com/spreadsheets/d/1eHaY18a8A9IcSdp1K8H6x8fbOy06t2VsZHhMHf-1x7Y/edit?usp=sharing"",""แผน!ED27"")"),10)</f>
        <v>10</v>
      </c>
      <c r="J297" s="520">
        <v>0</v>
      </c>
      <c r="K297" s="521">
        <f t="shared" ca="1" si="190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25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228095.39</v>
      </c>
      <c r="R304" s="515">
        <f t="shared" ca="1" si="195"/>
        <v>228095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228095.39</v>
      </c>
      <c r="R306" s="230">
        <f t="shared" ca="1" si="199"/>
        <v>228095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228095.39</v>
      </c>
      <c r="R307" s="230">
        <f t="shared" ca="1" si="201"/>
        <v>228095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IFERROR(__xludf.DUMMYFUNCTION("IMPORTRANGE(""https://docs.google.com/spreadsheets/d/1-uDff_7J0KD5mKrp0Vvzr7lt3OU09vwQwhkpOPPYv2Y/edit?usp=sharing"",""งบพรบ!DY27"")"),0)</f>
        <v>0</v>
      </c>
      <c r="M309" s="230">
        <f ca="1">IFERROR(__xludf.DUMMYFUNCTION("IMPORTRANGE(""https://docs.google.com/spreadsheets/d/1-uDff_7J0KD5mKrp0Vvzr7lt3OU09vwQwhkpOPPYv2Y/edit?usp=sharing"",""งบพรบ!ED27"")"),0)</f>
        <v>0</v>
      </c>
      <c r="N309" s="230">
        <f ca="1">IFERROR(__xludf.DUMMYFUNCTION("IMPORTRANGE(""https://docs.google.com/spreadsheets/d/1-uDff_7J0KD5mKrp0Vvzr7lt3OU09vwQwhkpOPPYv2Y/edit?usp=sharing"",""งบพรบ!EF27"")"),0)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IFERROR(__xludf.DUMMYFUNCTION("IMPORTRANGE(""https://docs.google.com/spreadsheets/d/1ItG2mGa2ceCfYo0BwxsXqNm01IGEUdYcSSLTEv9YCik/edit?usp=sharing"",""เบิกจ่ายกองทุน!AP27"")"),228095.39)</f>
        <v>228095.39</v>
      </c>
      <c r="R309" s="230">
        <f ca="1">IFERROR(__xludf.DUMMYFUNCTION("IMPORTRANGE(""https://docs.google.com/spreadsheets/d/1ItG2mGa2ceCfYo0BwxsXqNm01IGEUdYcSSLTEv9YCik/edit?usp=sharing"",""เบิกจ่ายกองทุน!AQ27"")"),228095)</f>
        <v>228095</v>
      </c>
      <c r="S309" s="230">
        <f ca="1">IFERROR(__xludf.DUMMYFUNCTION("IMPORTRANGE(""https://docs.google.com/spreadsheets/d/1ItG2mGa2ceCfYo0BwxsXqNm01IGEUdYcSSLTEv9YCik/edit?usp=sharing"",""เบิกจ่ายกองทุน!AR27"")"),0)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IFERROR(__xludf.DUMMYFUNCTION("IMPORTRANGE(""https://docs.google.com/spreadsheets/d/1-uDff_7J0KD5mKrp0Vvzr7lt3OU09vwQwhkpOPPYv2Y/edit?usp=sharing"",""งบพรบ!EB27"")"),0)</f>
        <v>0</v>
      </c>
      <c r="M312" s="230">
        <f ca="1">IFERROR(__xludf.DUMMYFUNCTION("IMPORTRANGE(""https://docs.google.com/spreadsheets/d/1-uDff_7J0KD5mKrp0Vvzr7lt3OU09vwQwhkpOPPYv2Y/edit?usp=sharing"",""งบพรบ!EE27"")"),0)</f>
        <v>0</v>
      </c>
      <c r="N312" s="230">
        <f ca="1">IFERROR(__xludf.DUMMYFUNCTION("IMPORTRANGE(""https://docs.google.com/spreadsheets/d/1-uDff_7J0KD5mKrp0Vvzr7lt3OU09vwQwhkpOPPYv2Y/edit?usp=sharing"",""งบพรบ!EG27"")"),0)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IFERROR(__xludf.DUMMYFUNCTION("IMPORTRANGE(""https://docs.google.com/spreadsheets/d/1eHaY18a8A9IcSdp1K8H6x8fbOy06t2VsZHhMHf-1x7Y/edit?usp=sharing"",""แผน!EF27"")"),25)</f>
        <v>25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IFERROR(__xludf.DUMMYFUNCTION("IMPORTRANGE(""https://docs.google.com/spreadsheets/d/1-uDff_7J0KD5mKrp0Vvzr7lt3OU09vwQwhkpOPPYv2Y/edit?usp=sharing"",""งบพรบ!EI27"")"),0)</f>
        <v>0</v>
      </c>
      <c r="M326" s="230">
        <f ca="1">IFERROR(__xludf.DUMMYFUNCTION("IMPORTRANGE(""https://docs.google.com/spreadsheets/d/1-uDff_7J0KD5mKrp0Vvzr7lt3OU09vwQwhkpOPPYv2Y/edit?usp=sharing"",""งบพรบ!EN27"")"),0)</f>
        <v>0</v>
      </c>
      <c r="N326" s="230">
        <f ca="1">IFERROR(__xludf.DUMMYFUNCTION("IMPORTRANGE(""https://docs.google.com/spreadsheets/d/1-uDff_7J0KD5mKrp0Vvzr7lt3OU09vwQwhkpOPPYv2Y/edit?usp=sharing"",""งบพรบ!EP27"")"),0)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IFERROR(__xludf.DUMMYFUNCTION("IMPORTRANGE(""https://docs.google.com/spreadsheets/d/1-uDff_7J0KD5mKrp0Vvzr7lt3OU09vwQwhkpOPPYv2Y/edit?usp=sharing"",""งบพรบ!EL27"")"),0)</f>
        <v>0</v>
      </c>
      <c r="M329" s="230">
        <f ca="1">IFERROR(__xludf.DUMMYFUNCTION("IMPORTRANGE(""https://docs.google.com/spreadsheets/d/1-uDff_7J0KD5mKrp0Vvzr7lt3OU09vwQwhkpOPPYv2Y/edit?usp=sharing"",""งบพรบ!EO27"")"),0)</f>
        <v>0</v>
      </c>
      <c r="N329" s="230">
        <f ca="1">IFERROR(__xludf.DUMMYFUNCTION("IMPORTRANGE(""https://docs.google.com/spreadsheets/d/1-uDff_7J0KD5mKrp0Vvzr7lt3OU09vwQwhkpOPPYv2Y/edit?usp=sharing"",""งบพรบ!EQ27"")"),0)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IFERROR(__xludf.DUMMYFUNCTION("IMPORTRANGE(""https://docs.google.com/spreadsheets/d/1eHaY18a8A9IcSdp1K8H6x8fbOy06t2VsZHhMHf-1x7Y/edit?usp=sharing"",""แผน!EJ27"")"),0)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460</v>
      </c>
      <c r="J333" s="635">
        <f ca="1">J345+J348+J349+J350+J354</f>
        <v>3688</v>
      </c>
      <c r="K333" s="636">
        <f ca="1">IF(I333&gt;0,J333*100/I333,0)</f>
        <v>801.73913043478262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105000</v>
      </c>
      <c r="M334" s="515">
        <f t="shared" ca="1" si="217"/>
        <v>110000</v>
      </c>
      <c r="N334" s="515">
        <f t="shared" ca="1" si="217"/>
        <v>67141.72</v>
      </c>
      <c r="O334" s="515">
        <f t="shared" ref="O334:O342" ca="1" si="218">IF(L334&gt;0,N334*100/L334,0)</f>
        <v>63.944495238095236</v>
      </c>
      <c r="P334" s="515">
        <f t="shared" ref="P334:P342" ca="1" si="219">IF(M334&gt;0,N334*100/M334,0)</f>
        <v>61.037927272727273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105000</v>
      </c>
      <c r="M336" s="230">
        <f t="shared" ca="1" si="223"/>
        <v>110000</v>
      </c>
      <c r="N336" s="230">
        <f t="shared" ca="1" si="223"/>
        <v>67141.72</v>
      </c>
      <c r="O336" s="230">
        <f t="shared" ca="1" si="218"/>
        <v>63.944495238095236</v>
      </c>
      <c r="P336" s="230">
        <f t="shared" ca="1" si="219"/>
        <v>61.037927272727273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105000</v>
      </c>
      <c r="M337" s="230">
        <f t="shared" ca="1" si="225"/>
        <v>110000</v>
      </c>
      <c r="N337" s="230">
        <f t="shared" ca="1" si="225"/>
        <v>67141.72</v>
      </c>
      <c r="O337" s="230">
        <f t="shared" ca="1" si="218"/>
        <v>63.944495238095236</v>
      </c>
      <c r="P337" s="230">
        <f t="shared" ca="1" si="219"/>
        <v>61.037927272727273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IFERROR(__xludf.DUMMYFUNCTION("IMPORTRANGE(""https://docs.google.com/spreadsheets/d/1-uDff_7J0KD5mKrp0Vvzr7lt3OU09vwQwhkpOPPYv2Y/edit?usp=sharing"",""งบพรบ!ES27"")"),105000)</f>
        <v>105000</v>
      </c>
      <c r="M339" s="230">
        <f ca="1">IFERROR(__xludf.DUMMYFUNCTION("IMPORTRANGE(""https://docs.google.com/spreadsheets/d/1-uDff_7J0KD5mKrp0Vvzr7lt3OU09vwQwhkpOPPYv2Y/edit?usp=sharing"",""งบพรบ!EX27"")"),110000)</f>
        <v>110000</v>
      </c>
      <c r="N339" s="230">
        <f ca="1">IFERROR(__xludf.DUMMYFUNCTION("IMPORTRANGE(""https://docs.google.com/spreadsheets/d/1-uDff_7J0KD5mKrp0Vvzr7lt3OU09vwQwhkpOPPYv2Y/edit?usp=sharing"",""งบพรบ!EZ27"")"),67141.72)</f>
        <v>67141.72</v>
      </c>
      <c r="O339" s="230">
        <f t="shared" ca="1" si="218"/>
        <v>63.944495238095236</v>
      </c>
      <c r="P339" s="230">
        <f t="shared" ca="1" si="219"/>
        <v>61.037927272727273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IFERROR(__xludf.DUMMYFUNCTION("IMPORTRANGE(""https://docs.google.com/spreadsheets/d/1-uDff_7J0KD5mKrp0Vvzr7lt3OU09vwQwhkpOPPYv2Y/edit?usp=sharing"",""งบพรบ!EV27"")"),0)</f>
        <v>0</v>
      </c>
      <c r="M342" s="230">
        <f ca="1">IFERROR(__xludf.DUMMYFUNCTION("IMPORTRANGE(""https://docs.google.com/spreadsheets/d/1-uDff_7J0KD5mKrp0Vvzr7lt3OU09vwQwhkpOPPYv2Y/edit?usp=sharing"",""งบพรบ!EY27"")"),0)</f>
        <v>0</v>
      </c>
      <c r="N342" s="230">
        <f ca="1">IFERROR(__xludf.DUMMYFUNCTION("IMPORTRANGE(""https://docs.google.com/spreadsheets/d/1-uDff_7J0KD5mKrp0Vvzr7lt3OU09vwQwhkpOPPYv2Y/edit?usp=sharing"",""งบพรบ!FA27"")"),0)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229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IFERROR(__xludf.DUMMYFUNCTION("IMPORTRANGE(""https://docs.google.com/spreadsheets/d/1eHaY18a8A9IcSdp1K8H6x8fbOy06t2VsZHhMHf-1x7Y/edit?usp=sharing"",""แผน!EK27"")"),460)</f>
        <v>460</v>
      </c>
      <c r="J345" s="189">
        <f ca="1">IFERROR(__xludf.DUMMYFUNCTION("IMPORTRANGE(""https://docs.google.com/spreadsheets/d/1awYsYK3VOup2i3Pq_Yjnu8DRu_mYwSBnCR2QPthd0rU/edit?usp=sharing"",""ศูนย์ยกเว้นโฉนด!D27"")"),141)</f>
        <v>141</v>
      </c>
      <c r="K345" s="230">
        <f ca="1">IF(I345&gt;0,J345*100/I345,0)</f>
        <v>30.652173913043477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IFERROR(__xludf.DUMMYFUNCTION("IMPORTRANGE(""https://docs.google.com/spreadsheets/d/1eHaY18a8A9IcSdp1K8H6x8fbOy06t2VsZHhMHf-1x7Y/edit?usp=sharing"",""แผน!EL27"")"),4)</f>
        <v>4</v>
      </c>
      <c r="J347" s="189">
        <f ca="1">IFERROR(__xludf.DUMMYFUNCTION("IMPORTRANGE(""https://docs.google.com/spreadsheets/d/1awYsYK3VOup2i3Pq_Yjnu8DRu_mYwSBnCR2QPthd0rU/edit?usp=sharing"",""ศูนย์รวม!E27"")"),0)</f>
        <v>0</v>
      </c>
      <c r="K347" s="230">
        <f ca="1">IF(I347&gt;0,J347*100/I347,0)</f>
        <v>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IFERROR(__xludf.DUMMYFUNCTION("IMPORTRANGE(""https://docs.google.com/spreadsheets/d/1awYsYK3VOup2i3Pq_Yjnu8DRu_mYwSBnCR2QPthd0rU/edit?usp=sharing"",""ศูนย์ยกเว้นโฉนด!F27"")"),0)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IFERROR(__xludf.DUMMYFUNCTION("IMPORTRANGE(""https://docs.google.com/spreadsheets/d/1awYsYK3VOup2i3Pq_Yjnu8DRu_mYwSBnCR2QPthd0rU/edit?usp=sharing"",""ศูนย์ยกเว้นโฉนด!G27"")"),88)</f>
        <v>88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IFERROR(__xludf.DUMMYFUNCTION("IMPORTRANGE(""https://docs.google.com/spreadsheets/d/1awYsYK3VOup2i3Pq_Yjnu8DRu_mYwSBnCR2QPthd0rU/edit?usp=sharing"",""ศูนย์ยกเว้นโฉนด!H27"")"),0)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3463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IFERROR(__xludf.DUMMYFUNCTION("IMPORTRANGE(""https://docs.google.com/spreadsheets/d/1awYsYK3VOup2i3Pq_Yjnu8DRu_mYwSBnCR2QPthd0rU/edit?usp=sharing"",""โฉนดM3!G27"")"),4)</f>
        <v>4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IFERROR(__xludf.DUMMYFUNCTION("IMPORTRANGE(""https://docs.google.com/spreadsheets/d/1awYsYK3VOup2i3Pq_Yjnu8DRu_mYwSBnCR2QPthd0rU/edit?usp=sharing"",""โฉนดM3!H27"")"),3459)</f>
        <v>3459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243965</v>
      </c>
      <c r="M357" s="515">
        <f t="shared" ca="1" si="229"/>
        <v>268265</v>
      </c>
      <c r="N357" s="515">
        <f t="shared" ca="1" si="229"/>
        <v>93460</v>
      </c>
      <c r="O357" s="515">
        <f t="shared" ref="O357:O365" ca="1" si="230">IF(L357&gt;0,N357*100/L357,0)</f>
        <v>38.308773799520424</v>
      </c>
      <c r="P357" s="515">
        <f t="shared" ref="P357:P365" ca="1" si="231">IF(M357&gt;0,N357*100/M357,0)</f>
        <v>34.838685628017075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243965</v>
      </c>
      <c r="M359" s="230">
        <f t="shared" ca="1" si="235"/>
        <v>268265</v>
      </c>
      <c r="N359" s="230">
        <f t="shared" ca="1" si="235"/>
        <v>93460</v>
      </c>
      <c r="O359" s="230">
        <f t="shared" ca="1" si="230"/>
        <v>38.308773799520424</v>
      </c>
      <c r="P359" s="230">
        <f t="shared" ca="1" si="231"/>
        <v>34.838685628017075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243965</v>
      </c>
      <c r="M360" s="230">
        <f t="shared" ca="1" si="237"/>
        <v>268265</v>
      </c>
      <c r="N360" s="230">
        <f t="shared" ca="1" si="237"/>
        <v>93460</v>
      </c>
      <c r="O360" s="230">
        <f t="shared" ca="1" si="230"/>
        <v>38.308773799520424</v>
      </c>
      <c r="P360" s="230">
        <f t="shared" ca="1" si="231"/>
        <v>34.838685628017075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IFERROR(__xludf.DUMMYFUNCTION("IMPORTRANGE(""https://docs.google.com/spreadsheets/d/1-uDff_7J0KD5mKrp0Vvzr7lt3OU09vwQwhkpOPPYv2Y/edit?usp=sharing"",""งบพรบ!FC27"")"),243965)</f>
        <v>243965</v>
      </c>
      <c r="M362" s="230">
        <f ca="1">IFERROR(__xludf.DUMMYFUNCTION("IMPORTRANGE(""https://docs.google.com/spreadsheets/d/1-uDff_7J0KD5mKrp0Vvzr7lt3OU09vwQwhkpOPPYv2Y/edit?usp=sharing"",""งบพรบ!FH27"")"),268265)</f>
        <v>268265</v>
      </c>
      <c r="N362" s="230">
        <f ca="1">IFERROR(__xludf.DUMMYFUNCTION("IMPORTRANGE(""https://docs.google.com/spreadsheets/d/1-uDff_7J0KD5mKrp0Vvzr7lt3OU09vwQwhkpOPPYv2Y/edit?usp=sharing"",""งบพรบ!FJ27"")"),93460)</f>
        <v>93460</v>
      </c>
      <c r="O362" s="230">
        <f t="shared" ca="1" si="230"/>
        <v>38.308773799520424</v>
      </c>
      <c r="P362" s="230">
        <f t="shared" ca="1" si="231"/>
        <v>34.838685628017075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IFERROR(__xludf.DUMMYFUNCTION("IMPORTRANGE(""https://docs.google.com/spreadsheets/d/1-uDff_7J0KD5mKrp0Vvzr7lt3OU09vwQwhkpOPPYv2Y/edit?usp=sharing"",""งบพรบ!FF27"")"),0)</f>
        <v>0</v>
      </c>
      <c r="M365" s="230">
        <f ca="1">IFERROR(__xludf.DUMMYFUNCTION("IMPORTRANGE(""https://docs.google.com/spreadsheets/d/1-uDff_7J0KD5mKrp0Vvzr7lt3OU09vwQwhkpOPPYv2Y/edit?usp=sharing"",""งบพรบ!FI27"")"),0)</f>
        <v>0</v>
      </c>
      <c r="N365" s="230">
        <f ca="1">IFERROR(__xludf.DUMMYFUNCTION("IMPORTRANGE(""https://docs.google.com/spreadsheets/d/1-uDff_7J0KD5mKrp0Vvzr7lt3OU09vwQwhkpOPPYv2Y/edit?usp=sharing"",""งบพรบ!FK27"")"),0)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69</v>
      </c>
      <c r="J366" s="313">
        <f t="shared" ca="1" si="241"/>
        <v>9</v>
      </c>
      <c r="K366" s="314">
        <f ca="1">IF(I366&gt;0,J366*100/I366,0)</f>
        <v>13.043478260869565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IFERROR(__xludf.DUMMYFUNCTION("IMPORTRANGE(""https://docs.google.com/spreadsheets/d/1tdoBKaGub7dwA3U6UFTqxio9LNnvDCQjHKmttSEBsFQ/edit?usp=sharing"",""จัดที่ดิน!AB27"")"),47)</f>
        <v>47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IFERROR(__xludf.DUMMYFUNCTION("IMPORTRANGE(""https://docs.google.com/spreadsheets/d/1eHaY18a8A9IcSdp1K8H6x8fbOy06t2VsZHhMHf-1x7Y/edit?usp=sharing"",""แผน!EW27"")"),730)</f>
        <v>730</v>
      </c>
      <c r="J369" s="646">
        <f ca="1">IFERROR(__xludf.DUMMYFUNCTION("IMPORTRANGE(""https://docs.google.com/spreadsheets/d/1tdoBKaGub7dwA3U6UFTqxio9LNnvDCQjHKmttSEBsFQ/edit?usp=sharing"",""จัดที่ดิน!AC27"")"),119.4)</f>
        <v>119.4</v>
      </c>
      <c r="K369" s="230">
        <f t="shared" ca="1" si="242"/>
        <v>16.356164383561644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IFERROR(__xludf.DUMMYFUNCTION("IMPORTRANGE(""https://docs.google.com/spreadsheets/d/1eHaY18a8A9IcSdp1K8H6x8fbOy06t2VsZHhMHf-1x7Y/edit?usp=sharing"",""แผน!EX27"")"),110)</f>
        <v>110</v>
      </c>
      <c r="J370" s="189">
        <f ca="1">IFERROR(__xludf.DUMMYFUNCTION("IMPORTRANGE(""https://docs.google.com/spreadsheets/d/1tdoBKaGub7dwA3U6UFTqxio9LNnvDCQjHKmttSEBsFQ/edit?usp=sharing"",""จัดที่ดิน!AD27"")"),55)</f>
        <v>55</v>
      </c>
      <c r="K370" s="230">
        <f t="shared" ca="1" si="242"/>
        <v>50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IFERROR(__xludf.DUMMYFUNCTION("IMPORTRANGE(""https://docs.google.com/spreadsheets/d/1tdoBKaGub7dwA3U6UFTqxio9LNnvDCQjHKmttSEBsFQ/edit?usp=sharing"",""จัดที่ดิน!AE27"")"),173.18)</f>
        <v>173.18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IFERROR(__xludf.DUMMYFUNCTION("IMPORTRANGE(""https://docs.google.com/spreadsheets/d/1eHaY18a8A9IcSdp1K8H6x8fbOy06t2VsZHhMHf-1x7Y/edit?usp=sharing"",""แผน!EY27"")"),69)</f>
        <v>69</v>
      </c>
      <c r="J372" s="189">
        <f ca="1">IFERROR(__xludf.DUMMYFUNCTION("IMPORTRANGE(""https://docs.google.com/spreadsheets/d/1tdoBKaGub7dwA3U6UFTqxio9LNnvDCQjHKmttSEBsFQ/edit?usp=sharing"",""จัดที่ดิน!AF27"")"),9)</f>
        <v>9</v>
      </c>
      <c r="K372" s="230">
        <f t="shared" ca="1" si="242"/>
        <v>13.043478260869565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IFERROR(__xludf.DUMMYFUNCTION("IMPORTRANGE(""https://docs.google.com/spreadsheets/d/1tdoBKaGub7dwA3U6UFTqxio9LNnvDCQjHKmttSEBsFQ/edit?usp=sharing"",""จัดที่ดิน!AG27"")"),50.08)</f>
        <v>50.08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I387+I389</f>
        <v>1000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62500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62500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62500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IFERROR(__xludf.DUMMYFUNCTION("IMPORTRANGE(""https://docs.google.com/spreadsheets/d/1ItG2mGa2ceCfYo0BwxsXqNm01IGEUdYcSSLTEv9YCik/edit?usp=sharing"",""เบิกจ่ายกองทุน!AY27"")"),62500)</f>
        <v>62500</v>
      </c>
      <c r="R381" s="230">
        <f ca="1">IFERROR(__xludf.DUMMYFUNCTION("IMPORTRANGE(""https://docs.google.com/spreadsheets/d/1ItG2mGa2ceCfYo0BwxsXqNm01IGEUdYcSSLTEv9YCik/edit?usp=sharing"",""เบิกจ่ายกองทุน!AZ27"")"),0)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IFERROR(__xludf.DUMMYFUNCTION("IMPORTRANGE(""https://docs.google.com/spreadsheets/d/1ItG2mGa2ceCfYo0BwxsXqNm01IGEUdYcSSLTEv9YCik/edit?usp=sharing"",""เบิกจ่ายกองทุน!BA27"")"),0)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IFERROR(__xludf.DUMMYFUNCTION("IMPORTRANGE(""https://docs.google.com/spreadsheets/d/1w5rwWK1o49a35cNtocGL0gxDwhFSTZUQu90BiH9_zqM/edit?usp=sharing"",""RTK!H27"")"),0)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IFERROR(__xludf.DUMMYFUNCTION("IMPORTRANGE(""https://docs.google.com/spreadsheets/d/1w5rwWK1o49a35cNtocGL0gxDwhFSTZUQu90BiH9_zqM/edit?usp=sharing"",""RTK!G27"")"),1000)</f>
        <v>1000</v>
      </c>
      <c r="J387" s="189">
        <f ca="1">IFERROR(__xludf.DUMMYFUNCTION("IMPORTRANGE(""https://docs.google.com/spreadsheets/d/1w5rwWK1o49a35cNtocGL0gxDwhFSTZUQu90BiH9_zqM/edit?usp=sharing"",""RTK!I27"")"),0)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IFERROR(__xludf.DUMMYFUNCTION("IMPORTRANGE(""https://docs.google.com/spreadsheets/d/1w5rwWK1o49a35cNtocGL0gxDwhFSTZUQu90BiH9_zqM/edit?usp=sharing"",""RTK!L27"")"),0)</f>
        <v>0</v>
      </c>
      <c r="K388" s="592">
        <f t="shared" si="256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IFERROR(__xludf.DUMMYFUNCTION("IMPORTRANGE(""https://docs.google.com/spreadsheets/d/1w5rwWK1o49a35cNtocGL0gxDwhFSTZUQu90BiH9_zqM/edit?usp=sharing"",""RTK!K27"")"),0)</f>
        <v>0</v>
      </c>
      <c r="J389" s="661">
        <f ca="1">IFERROR(__xludf.DUMMYFUNCTION("IMPORTRANGE(""https://docs.google.com/spreadsheets/d/1w5rwWK1o49a35cNtocGL0gxDwhFSTZUQu90BiH9_zqM/edit?usp=sharing"",""RTK!M27"")"),0)</f>
        <v>0</v>
      </c>
      <c r="K389" s="592">
        <f t="shared" ca="1" si="256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IFERROR(__xludf.DUMMYFUNCTION("IMPORTRANGE(""https://docs.google.com/spreadsheets/d/1ItG2mGa2ceCfYo0BwxsXqNm01IGEUdYcSSLTEv9YCik/edit?usp=sharing"",""เบิกจ่ายกองทุน!BH27"")"),0)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IFERROR(__xludf.DUMMYFUNCTION("IMPORTRANGE(""https://docs.google.com/spreadsheets/d/1ItG2mGa2ceCfYo0BwxsXqNm01IGEUdYcSSLTEv9YCik/edit?usp=sharing"",""เบิกจ่ายกองทุน!BI27"")"),0)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IFERROR(__xludf.DUMMYFUNCTION("IMPORTRANGE(""https://docs.google.com/spreadsheets/d/1ItG2mGa2ceCfYo0BwxsXqNm01IGEUdYcSSLTEv9YCik/edit?usp=sharing"",""เบิกจ่ายกองทุน!BJ27"")"),0)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IFERROR(__xludf.DUMMYFUNCTION("IMPORTRANGE(""https://docs.google.com/spreadsheets/d/1eHaY18a8A9IcSdp1K8H6x8fbOy06t2VsZHhMHf-1x7Y/edit?usp=sharing"",""แผน!HJ27"")"),0)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IFERROR(__xludf.DUMMYFUNCTION("IMPORTRANGE(""https://docs.google.com/spreadsheets/d/1eHaY18a8A9IcSdp1K8H6x8fbOy06t2VsZHhMHf-1x7Y/edit?usp=sharing"",""แผน!HK27"")"),0)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IFERROR(__xludf.DUMMYFUNCTION("IMPORTRANGE(""https://docs.google.com/spreadsheets/d/1eHaY18a8A9IcSdp1K8H6x8fbOy06t2VsZHhMHf-1x7Y/edit?usp=sharing"",""แผน!HJ27"")"),0)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IFERROR(__xludf.DUMMYFUNCTION("IMPORTRANGE(""https://docs.google.com/spreadsheets/d/1eHaY18a8A9IcSdp1K8H6x8fbOy06t2VsZHhMHf-1x7Y/edit?usp=sharing"",""แผน!HK27"")"),0)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IFERROR(__xludf.DUMMYFUNCTION("IMPORTRANGE(""https://docs.google.com/spreadsheets/d/1eHaY18a8A9IcSdp1K8H6x8fbOy06t2VsZHhMHf-1x7Y/edit?usp=sharing"",""แผน!HJ27"")"),0)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IFERROR(__xludf.DUMMYFUNCTION("IMPORTRANGE(""https://docs.google.com/spreadsheets/d/1eHaY18a8A9IcSdp1K8H6x8fbOy06t2VsZHhMHf-1x7Y/edit?usp=sharing"",""แผน!HK27"")"),0)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IFERROR(__xludf.DUMMYFUNCTION("IMPORTRANGE(""https://docs.google.com/spreadsheets/d/1eHaY18a8A9IcSdp1K8H6x8fbOy06t2VsZHhMHf-1x7Y/edit?usp=sharing"",""แผน!HL27"")"),0)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IFERROR(__xludf.DUMMYFUNCTION("IMPORTRANGE(""https://docs.google.com/spreadsheets/d/1eHaY18a8A9IcSdp1K8H6x8fbOy06t2VsZHhMHf-1x7Y/edit?usp=sharing"",""แผน!HM27"")"),0)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IFERROR(__xludf.DUMMYFUNCTION("IMPORTRANGE(""https://docs.google.com/spreadsheets/d/1eHaY18a8A9IcSdp1K8H6x8fbOy06t2VsZHhMHf-1x7Y/edit?usp=sharing"",""แผน!HN27"")"),0)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IFERROR(__xludf.DUMMYFUNCTION("IMPORTRANGE(""https://docs.google.com/spreadsheets/d/1eHaY18a8A9IcSdp1K8H6x8fbOy06t2VsZHhMHf-1x7Y/edit?usp=sharing"",""แผน!HO27"")"),0)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IFERROR(__xludf.DUMMYFUNCTION("IMPORTRANGE(""https://docs.google.com/spreadsheets/d/1ItG2mGa2ceCfYo0BwxsXqNm01IGEUdYcSSLTEv9YCik/edit?usp=sharing"",""เบิกจ่ายกองทุน!X27"")"),0)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IFERROR(__xludf.DUMMYFUNCTION("IMPORTRANGE(""https://docs.google.com/spreadsheets/d/1ItG2mGa2ceCfYo0BwxsXqNm01IGEUdYcSSLTEv9YCik/edit?usp=sharing"",""เบิกจ่ายกองทุน!Y27"")"),0)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IFERROR(__xludf.DUMMYFUNCTION("IMPORTRANGE(""https://docs.google.com/spreadsheets/d/1ItG2mGa2ceCfYo0BwxsXqNm01IGEUdYcSSLTEv9YCik/edit?usp=sharing"",""เบิกจ่ายกองทุน!Z27"")"),0)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IFERROR(__xludf.DUMMYFUNCTION("IMPORTRANGE(""https://docs.google.com/spreadsheets/d/1eHaY18a8A9IcSdp1K8H6x8fbOy06t2VsZHhMHf-1x7Y/edit?usp=sharing"",""แผน!GX27"")"),0)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IFERROR(__xludf.DUMMYFUNCTION("IMPORTRANGE(""https://docs.google.com/spreadsheets/d/1eHaY18a8A9IcSdp1K8H6x8fbOy06t2VsZHhMHf-1x7Y/edit?usp=sharing"",""แผน!GY27"")"),0)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IFERROR(__xludf.DUMMYFUNCTION("IMPORTRANGE(""https://docs.google.com/spreadsheets/d/1eHaY18a8A9IcSdp1K8H6x8fbOy06t2VsZHhMHf-1x7Y/edit?usp=sharing"",""แผน!GZ27"")"),0)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IFERROR(__xludf.DUMMYFUNCTION("IMPORTRANGE(""https://docs.google.com/spreadsheets/d/1eHaY18a8A9IcSdp1K8H6x8fbOy06t2VsZHhMHf-1x7Y/edit?usp=sharing"",""แผน!HA27"")"),0)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IFERROR(__xludf.DUMMYFUNCTION("IMPORTRANGE(""https://docs.google.com/spreadsheets/d/1eHaY18a8A9IcSdp1K8H6x8fbOy06t2VsZHhMHf-1x7Y/edit?usp=sharing"",""แผน!HB27"")"),0)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IFERROR(__xludf.DUMMYFUNCTION("IMPORTRANGE(""https://docs.google.com/spreadsheets/d/1eHaY18a8A9IcSdp1K8H6x8fbOy06t2VsZHhMHf-1x7Y/edit?usp=sharing"",""แผน!HC27"")"),0)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IFERROR(__xludf.DUMMYFUNCTION("IMPORTRANGE(""https://docs.google.com/spreadsheets/d/1-uDff_7J0KD5mKrp0Vvzr7lt3OU09vwQwhkpOPPYv2Y/edit?usp=sharing"",""งบพรบ!FM27"")"),0)</f>
        <v>0</v>
      </c>
      <c r="M519" s="230">
        <f ca="1">IFERROR(__xludf.DUMMYFUNCTION("IMPORTRANGE(""https://docs.google.com/spreadsheets/d/1-uDff_7J0KD5mKrp0Vvzr7lt3OU09vwQwhkpOPPYv2Y/edit?usp=sharing"",""งบพรบ!FR27"")"),0)</f>
        <v>0</v>
      </c>
      <c r="N519" s="230">
        <f ca="1">IFERROR(__xludf.DUMMYFUNCTION("IMPORTRANGE(""https://docs.google.com/spreadsheets/d/1-uDff_7J0KD5mKrp0Vvzr7lt3OU09vwQwhkpOPPYv2Y/edit?usp=sharing"",""งบพรบ!FT27"")"),0)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IFERROR(__xludf.DUMMYFUNCTION("IMPORTRANGE(""https://docs.google.com/spreadsheets/d/1-uDff_7J0KD5mKrp0Vvzr7lt3OU09vwQwhkpOPPYv2Y/edit?usp=sharing"",""งบพรบ!FP27"")"),0)</f>
        <v>0</v>
      </c>
      <c r="M522" s="230">
        <f ca="1">IFERROR(__xludf.DUMMYFUNCTION("IMPORTRANGE(""https://docs.google.com/spreadsheets/d/1-uDff_7J0KD5mKrp0Vvzr7lt3OU09vwQwhkpOPPYv2Y/edit?usp=sharing"",""งบพรบ!FS27"")"),0)</f>
        <v>0</v>
      </c>
      <c r="N522" s="230">
        <f ca="1">IFERROR(__xludf.DUMMYFUNCTION("IMPORTRANGE(""https://docs.google.com/spreadsheets/d/1-uDff_7J0KD5mKrp0Vvzr7lt3OU09vwQwhkpOPPYv2Y/edit?usp=sharing"",""งบพรบ!FU27"")"),0)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50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6700</v>
      </c>
      <c r="R617" s="515">
        <f t="shared" ca="1" si="384"/>
        <v>6700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6700</v>
      </c>
      <c r="R619" s="230">
        <f t="shared" ca="1" si="388"/>
        <v>6700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6700</v>
      </c>
      <c r="R620" s="230">
        <f t="shared" ca="1" si="390"/>
        <v>6700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IFERROR(__xludf.DUMMYFUNCTION("IMPORTRANGE(""https://docs.google.com/spreadsheets/d/1ItG2mGa2ceCfYo0BwxsXqNm01IGEUdYcSSLTEv9YCik/edit?usp=sharing"",""เบิกจ่ายกองทุน!F27"")"),6700)</f>
        <v>6700</v>
      </c>
      <c r="R622" s="230">
        <f ca="1">IFERROR(__xludf.DUMMYFUNCTION("IMPORTRANGE(""https://docs.google.com/spreadsheets/d/1ItG2mGa2ceCfYo0BwxsXqNm01IGEUdYcSSLTEv9YCik/edit?usp=sharing"",""เบิกจ่ายกองทุน!G27"")"),6700)</f>
        <v>6700</v>
      </c>
      <c r="S622" s="230">
        <f ca="1">IFERROR(__xludf.DUMMYFUNCTION("IMPORTRANGE(""https://docs.google.com/spreadsheets/d/1ItG2mGa2ceCfYo0BwxsXqNm01IGEUdYcSSLTEv9YCik/edit?usp=sharing"",""เบิกจ่ายกองทุน!H27"")"),0)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IFERROR(__xludf.DUMMYFUNCTION("IMPORTRANGE(""https://docs.google.com/spreadsheets/d/1eHaY18a8A9IcSdp1K8H6x8fbOy06t2VsZHhMHf-1x7Y/edit?usp=sharing"",""แผน!ID27"")"),50)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IFERROR(__xludf.DUMMYFUNCTION("IMPORTRANGE(""https://docs.google.com/spreadsheets/d/1eHaY18a8A9IcSdp1K8H6x8fbOy06t2VsZHhMHf-1x7Y/edit?usp=sharing"",""แผน!IC27"")"),0)</f>
        <v>0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IFERROR(__xludf.DUMMYFUNCTION("IMPORTRANGE(""https://docs.google.com/spreadsheets/d/1eHaY18a8A9IcSdp1K8H6x8fbOy06t2VsZHhMHf-1x7Y/edit?usp=sharing"",""แผน!IC27"")"),0)</f>
        <v>0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IFERROR(__xludf.DUMMYFUNCTION("IMPORTRANGE(""https://docs.google.com/spreadsheets/d/1eHaY18a8A9IcSdp1K8H6x8fbOy06t2VsZHhMHf-1x7Y/edit?usp=sharing"",""แผน!IE27"")"),0)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16640</v>
      </c>
      <c r="R643" s="515">
        <f t="shared" ca="1" si="398"/>
        <v>16640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16640</v>
      </c>
      <c r="R645" s="230">
        <f t="shared" ca="1" si="402"/>
        <v>16640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16640</v>
      </c>
      <c r="R646" s="230">
        <f t="shared" ca="1" si="404"/>
        <v>16640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8" s="230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8" s="230">
        <f ca="1">IFERROR(__xludf.DUMMYFUNCTION("IMPORTRANGE(""https://docs.google.com/spreadsheets/d/1ItG2mGa2ceCfYo0BwxsXqNm01IGEUdYcSSLTEv9YCik/edit?usp=sharing"",""เบิกจ่ายกองทุน!K27"")"),0)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IFERROR(__xludf.DUMMYFUNCTION("IMPORTRANGE(""https://docs.google.com/spreadsheets/d/1eHaY18a8A9IcSdp1K8H6x8fbOy06t2VsZHhMHf-1x7Y/edit?usp=sharing"",""แผน!IF27"")"),0)</f>
        <v>0</v>
      </c>
      <c r="J653" s="189">
        <f ca="1">IFERROR(__xludf.DUMMYFUNCTION("IMPORTRANGE(""https://docs.google.com/spreadsheets/d/1tdoBKaGub7dwA3U6UFTqxio9LNnvDCQjHKmttSEBsFQ/edit?usp=sharing"",""จัดที่ดิน!AU27"")"),0)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IFERROR(__xludf.DUMMYFUNCTION("IMPORTRANGE(""https://docs.google.com/spreadsheets/d/1eHaY18a8A9IcSdp1K8H6x8fbOy06t2VsZHhMHf-1x7Y/edit?usp=sharing"",""แผน!IG27"")"),0)</f>
        <v>0</v>
      </c>
      <c r="J654" s="189">
        <f ca="1">IFERROR(__xludf.DUMMYFUNCTION("IMPORTRANGE(""https://docs.google.com/spreadsheets/d/1tdoBKaGub7dwA3U6UFTqxio9LNnvDCQjHKmttSEBsFQ/edit?usp=sharing"",""จัดที่ดิน!AW27"")"),0)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IFERROR(__xludf.DUMMYFUNCTION("IMPORTRANGE(""https://docs.google.com/spreadsheets/d/1eHaY18a8A9IcSdp1K8H6x8fbOy06t2VsZHhMHf-1x7Y/edit?usp=sharing"",""แผน!IH27"")"),80)</f>
        <v>80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IFERROR(__xludf.DUMMYFUNCTION("IMPORTRANGE(""https://docs.google.com/spreadsheets/d/1eHaY18a8A9IcSdp1K8H6x8fbOy06t2VsZHhMHf-1x7Y/edit?usp=sharing"",""แผน!II27"")"),80)</f>
        <v>80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IFERROR(__xludf.DUMMYFUNCTION("IMPORTRANGE(""https://docs.google.com/spreadsheets/d/1eHaY18a8A9IcSdp1K8H6x8fbOy06t2VsZHhMHf-1x7Y/edit?usp=sharing"",""แผน!IJ27"")"),0)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IFERROR(__xludf.DUMMYFUNCTION("IMPORTRANGE(""https://docs.google.com/spreadsheets/d/1eHaY18a8A9IcSdp1K8H6x8fbOy06t2VsZHhMHf-1x7Y/edit?usp=sharing"",""แผน!IK27"")"),1)</f>
        <v>1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IFERROR(__xludf.DUMMYFUNCTION("IMPORTRANGE(""https://docs.google.com/spreadsheets/d/1tdoBKaGub7dwA3U6UFTqxio9LNnvDCQjHKmttSEBsFQ/edit?usp=sharing"",""จัดที่ดิน!AY27"")"),0)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IFERROR(__xludf.DUMMYFUNCTION("IMPORTRANGE(""https://docs.google.com/spreadsheets/d/1tdoBKaGub7dwA3U6UFTqxio9LNnvDCQjHKmttSEBsFQ/edit?usp=sharing"",""จัดที่ดิน!AZ27"")"),0)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IFERROR(__xludf.DUMMYFUNCTION("IMPORTRANGE(""https://docs.google.com/spreadsheets/d/1eHaY18a8A9IcSdp1K8H6x8fbOy06t2VsZHhMHf-1x7Y/edit?usp=sharing"",""แผน!IL27"")"),100)</f>
        <v>100</v>
      </c>
      <c r="J674" s="189">
        <f ca="1">IFERROR(__xludf.DUMMYFUNCTION("IMPORTRANGE(""https://docs.google.com/spreadsheets/d/1tdoBKaGub7dwA3U6UFTqxio9LNnvDCQjHKmttSEBsFQ/edit?usp=sharing"",""จัดที่ดิน!BA27"")"),0)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IFERROR(__xludf.DUMMYFUNCTION("IMPORTRANGE(""https://docs.google.com/spreadsheets/d/1eHaY18a8A9IcSdp1K8H6x8fbOy06t2VsZHhMHf-1x7Y/edit?usp=sharing"",""แผน!IM27"")"),25)</f>
        <v>25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IFERROR(__xludf.DUMMYFUNCTION("IMPORTRANGE(""https://docs.google.com/spreadsheets/d/1eHaY18a8A9IcSdp1K8H6x8fbOy06t2VsZHhMHf-1x7Y/edit?usp=sharing"",""แผน!IN27"")"),210)</f>
        <v>210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IFERROR(__xludf.DUMMYFUNCTION("IMPORTRANGE(""https://docs.google.com/spreadsheets/d/1eHaY18a8A9IcSdp1K8H6x8fbOy06t2VsZHhMHf-1x7Y/edit?usp=sharing"",""แผน!IO27"")"),20)</f>
        <v>20</v>
      </c>
      <c r="J677" s="189">
        <f ca="1">IFERROR(__xludf.DUMMYFUNCTION("IMPORTRANGE(""https://docs.google.com/spreadsheets/d/1tdoBKaGub7dwA3U6UFTqxio9LNnvDCQjHKmttSEBsFQ/edit?usp=sharing"",""จัดที่ดิน!BF27"")"),0)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IFERROR(__xludf.DUMMYFUNCTION("IMPORTRANGE(""https://docs.google.com/spreadsheets/d/1tdoBKaGub7dwA3U6UFTqxio9LNnvDCQjHKmttSEBsFQ/edit?usp=sharing"",""จัดที่ดิน!BG27"")"),0)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IFERROR(__xludf.DUMMYFUNCTION("IMPORTRANGE(""https://docs.google.com/spreadsheets/d/1eHaY18a8A9IcSdp1K8H6x8fbOy06t2VsZHhMHf-1x7Y/edit?usp=sharing"",""แผน!IP27"")"),160)</f>
        <v>160</v>
      </c>
      <c r="J679" s="189">
        <f ca="1">IFERROR(__xludf.DUMMYFUNCTION("IMPORTRANGE(""https://docs.google.com/spreadsheets/d/1tdoBKaGub7dwA3U6UFTqxio9LNnvDCQjHKmttSEBsFQ/edit?usp=sharing"",""จัดที่ดิน!BH27"")"),0)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IFERROR(__xludf.DUMMYFUNCTION("IMPORTRANGE(""https://docs.google.com/spreadsheets/d/1eHaY18a8A9IcSdp1K8H6x8fbOy06t2VsZHhMHf-1x7Y/edit?usp=sharing"",""แผน!IQ27"")"),5)</f>
        <v>5</v>
      </c>
      <c r="J680" s="189">
        <f ca="1">IFERROR(__xludf.DUMMYFUNCTION("IMPORTRANGE(""https://docs.google.com/spreadsheets/d/1tdoBKaGub7dwA3U6UFTqxio9LNnvDCQjHKmttSEBsFQ/edit?usp=sharing"",""จัดที่ดิน!BK27"")"),0)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IFERROR(__xludf.DUMMYFUNCTION("IMPORTRANGE(""https://docs.google.com/spreadsheets/d/1tdoBKaGub7dwA3U6UFTqxio9LNnvDCQjHKmttSEBsFQ/edit?usp=sharing"",""จัดที่ดิน!BL27"")"),0)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IFERROR(__xludf.DUMMYFUNCTION("IMPORTRANGE(""https://docs.google.com/spreadsheets/d/1eHaY18a8A9IcSdp1K8H6x8fbOy06t2VsZHhMHf-1x7Y/edit?usp=sharing"",""แผน!IR27"")"),50)</f>
        <v>50</v>
      </c>
      <c r="J682" s="189">
        <f ca="1">IFERROR(__xludf.DUMMYFUNCTION("IMPORTRANGE(""https://docs.google.com/spreadsheets/d/1tdoBKaGub7dwA3U6UFTqxio9LNnvDCQjHKmttSEBsFQ/edit?usp=sharing"",""จัดที่ดิน!BM27"")"),0)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IFERROR(__xludf.DUMMYFUNCTION("IMPORTRANGE(""https://docs.google.com/spreadsheets/d/1eHaY18a8A9IcSdp1K8H6x8fbOy06t2VsZHhMHf-1x7Y/edit?usp=sharing"",""แผน!IS27"")"),0)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1">I708</f>
        <v>0</v>
      </c>
      <c r="J690" s="756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66060</v>
      </c>
      <c r="R691" s="515">
        <f t="shared" ca="1" si="415"/>
        <v>66060</v>
      </c>
      <c r="S691" s="515">
        <f t="shared" ca="1" si="415"/>
        <v>0</v>
      </c>
      <c r="T691" s="515">
        <f t="shared" ref="T691:T699" ca="1" si="416">IF(Q691&gt;0,S691*100/Q691,0)</f>
        <v>0</v>
      </c>
      <c r="U691" s="515">
        <f t="shared" ref="U691:U699" ca="1" si="417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66060</v>
      </c>
      <c r="R693" s="230">
        <f t="shared" ca="1" si="419"/>
        <v>66060</v>
      </c>
      <c r="S693" s="230">
        <f t="shared" ca="1" si="419"/>
        <v>0</v>
      </c>
      <c r="T693" s="230">
        <f t="shared" ca="1" si="416"/>
        <v>0</v>
      </c>
      <c r="U693" s="230">
        <f t="shared" ca="1" si="417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66060</v>
      </c>
      <c r="R694" s="230">
        <f t="shared" ca="1" si="421"/>
        <v>66060</v>
      </c>
      <c r="S694" s="230">
        <f t="shared" ca="1" si="421"/>
        <v>0</v>
      </c>
      <c r="T694" s="230">
        <f t="shared" ca="1" si="416"/>
        <v>0</v>
      </c>
      <c r="U694" s="230">
        <f t="shared" ca="1" si="417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6" s="230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6" s="230">
        <f ca="1">IFERROR(__xludf.DUMMYFUNCTION("IMPORTRANGE(""https://docs.google.com/spreadsheets/d/1ItG2mGa2ceCfYo0BwxsXqNm01IGEUdYcSSLTEv9YCik/edit?usp=sharing"",""เบิกจ่ายกองทุน!N27"")"),0)</f>
        <v>0</v>
      </c>
      <c r="T696" s="230">
        <f t="shared" ca="1" si="416"/>
        <v>0</v>
      </c>
      <c r="U696" s="230">
        <f t="shared" ca="1" si="417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IFERROR(__xludf.DUMMYFUNCTION("IMPORTRANGE(""https://docs.google.com/spreadsheets/d/1eHaY18a8A9IcSdp1K8H6x8fbOy06t2VsZHhMHf-1x7Y/edit?usp=sharing"",""แผน!LC27"")"),0)</f>
        <v>0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4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IFERROR(__xludf.DUMMYFUNCTION("IMPORTRANGE(""https://docs.google.com/spreadsheets/d/1eHaY18a8A9IcSdp1K8H6x8fbOy06t2VsZHhMHf-1x7Y/edit?usp=sharing"",""แผน!LJ27"")"),0)</f>
        <v>0</v>
      </c>
      <c r="J704" s="189">
        <f ca="1">IFERROR(__xludf.DUMMYFUNCTION("IMPORTRANGE(""https://docs.google.com/spreadsheets/d/1tdoBKaGub7dwA3U6UFTqxio9LNnvDCQjHKmttSEBsFQ/edit?usp=sharing"",""จัดที่ดิน!AP27"")"),0)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IFERROR(__xludf.DUMMYFUNCTION("IMPORTRANGE(""https://docs.google.com/spreadsheets/d/1tdoBKaGub7dwA3U6UFTqxio9LNnvDCQjHKmttSEBsFQ/edit?usp=sharing"",""จัดที่ดิน!AQ27"")"),0)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IFERROR(__xludf.DUMMYFUNCTION("IMPORTRANGE(""https://docs.google.com/spreadsheets/d/1eHaY18a8A9IcSdp1K8H6x8fbOy06t2VsZHhMHf-1x7Y/edit?usp=sharing"",""แผน!LK27"")"),4)</f>
        <v>4</v>
      </c>
      <c r="J706" s="189">
        <f ca="1">IFERROR(__xludf.DUMMYFUNCTION("IMPORTRANGE(""https://docs.google.com/spreadsheets/d/1tdoBKaGub7dwA3U6UFTqxio9LNnvDCQjHKmttSEBsFQ/edit?usp=sharing"",""จัดที่ดิน!AR27"")"),0)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IFERROR(__xludf.DUMMYFUNCTION("IMPORTRANGE(""https://docs.google.com/spreadsheets/d/1tdoBKaGub7dwA3U6UFTqxio9LNnvDCQjHKmttSEBsFQ/edit?usp=sharing"",""จัดที่ดิน!AS27"")"),0)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IFERROR(__xludf.DUMMYFUNCTION("IMPORTRANGE(""https://docs.google.com/spreadsheets/d/1eHaY18a8A9IcSdp1K8H6x8fbOy06t2VsZHhMHf-1x7Y/edit?usp=sharing"",""แผน!LJ27"")"),0)</f>
        <v>0</v>
      </c>
      <c r="J708" s="189">
        <f ca="1">IFERROR(__xludf.DUMMYFUNCTION("IMPORTRANGE(""https://docs.google.com/spreadsheets/d/1tdoBKaGub7dwA3U6UFTqxio9LNnvDCQjHKmttSEBsFQ/edit?usp=sharing"",""จัดที่ดิน!BN27"")"),0)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IFERROR(__xludf.DUMMYFUNCTION("IMPORTRANGE(""https://docs.google.com/spreadsheets/d/1tdoBKaGub7dwA3U6UFTqxio9LNnvDCQjHKmttSEBsFQ/edit?usp=sharing"",""จัดที่ดิน!BO27"")"),0)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IFERROR(__xludf.DUMMYFUNCTION("IMPORTRANGE(""https://docs.google.com/spreadsheets/d/1eHaY18a8A9IcSdp1K8H6x8fbOy06t2VsZHhMHf-1x7Y/edit?usp=sharing"",""แผน!LK27"")"),4)</f>
        <v>4</v>
      </c>
      <c r="J710" s="189">
        <f ca="1">IFERROR(__xludf.DUMMYFUNCTION("IMPORTRANGE(""https://docs.google.com/spreadsheets/d/1tdoBKaGub7dwA3U6UFTqxio9LNnvDCQjHKmttSEBsFQ/edit?usp=sharing"",""จัดที่ดิน!BP27"")"),0)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IFERROR(__xludf.DUMMYFUNCTION("IMPORTRANGE(""https://docs.google.com/spreadsheets/d/1tdoBKaGub7dwA3U6UFTqxio9LNnvDCQjHKmttSEBsFQ/edit?usp=sharing"",""จัดที่ดิน!BQ27"")"),0)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IFERROR(__xludf.DUMMYFUNCTION("IMPORTRANGE(""https://docs.google.com/spreadsheets/d/1eHaY18a8A9IcSdp1K8H6x8fbOy06t2VsZHhMHf-1x7Y/edit?usp=sharing"",""แผน!GA27"")"),42)</f>
        <v>42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IFERROR(__xludf.DUMMYFUNCTION("IMPORTRANGE(""https://docs.google.com/spreadsheets/d/1eHaY18a8A9IcSdp1K8H6x8fbOy06t2VsZHhMHf-1x7Y/edit?usp=sharing"",""แผน!FZ27"")"),400)</f>
        <v>400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322458</v>
      </c>
      <c r="R729" s="515">
        <f t="shared" ca="1" si="442"/>
        <v>322458</v>
      </c>
      <c r="S729" s="515">
        <f t="shared" ca="1" si="442"/>
        <v>1740</v>
      </c>
      <c r="T729" s="515">
        <f t="shared" ref="T729:T737" ca="1" si="443">IF(Q729&gt;0,S729*100/Q729,0)</f>
        <v>0.53960515788102636</v>
      </c>
      <c r="U729" s="515">
        <f t="shared" ref="U729:U737" ca="1" si="444">IF(R729&gt;0,S729*100/R729,0)</f>
        <v>0.53960515788102636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322458</v>
      </c>
      <c r="R731" s="230">
        <f t="shared" ca="1" si="446"/>
        <v>322458</v>
      </c>
      <c r="S731" s="230">
        <f t="shared" ca="1" si="446"/>
        <v>1740</v>
      </c>
      <c r="T731" s="230">
        <f t="shared" ca="1" si="443"/>
        <v>0.53960515788102636</v>
      </c>
      <c r="U731" s="230">
        <f t="shared" ca="1" si="444"/>
        <v>0.53960515788102636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322458</v>
      </c>
      <c r="R732" s="230">
        <f t="shared" ca="1" si="448"/>
        <v>322458</v>
      </c>
      <c r="S732" s="230">
        <f t="shared" ca="1" si="448"/>
        <v>1740</v>
      </c>
      <c r="T732" s="230">
        <f t="shared" ca="1" si="443"/>
        <v>0.53960515788102636</v>
      </c>
      <c r="U732" s="230">
        <f t="shared" ca="1" si="444"/>
        <v>0.53960515788102636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4" s="230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4" s="230">
        <f ca="1">IFERROR(__xludf.DUMMYFUNCTION("IMPORTRANGE(""https://docs.google.com/spreadsheets/d/1ItG2mGa2ceCfYo0BwxsXqNm01IGEUdYcSSLTEv9YCik/edit?usp=sharing"",""เบิกจ่ายกองทุน!Q27"")"),1740)</f>
        <v>1740</v>
      </c>
      <c r="T734" s="230">
        <f t="shared" ca="1" si="443"/>
        <v>0.53960515788102636</v>
      </c>
      <c r="U734" s="230">
        <f t="shared" ca="1" si="444"/>
        <v>0.53960515788102636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IFERROR(__xludf.DUMMYFUNCTION("IMPORTRANGE(""https://docs.google.com/spreadsheets/d/1eHaY18a8A9IcSdp1K8H6x8fbOy06t2VsZHhMHf-1x7Y/edit?usp=sharing"",""แผน!GB27"")"),320)</f>
        <v>320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136"/>
      <c r="B742" s="137"/>
      <c r="C742" s="137"/>
      <c r="D742" s="137"/>
      <c r="E742" s="137"/>
      <c r="F742" s="422" t="s">
        <v>272</v>
      </c>
      <c r="G742" s="141"/>
      <c r="H742" s="131" t="s">
        <v>35</v>
      </c>
      <c r="I742" s="41"/>
      <c r="J742" s="520">
        <v>0</v>
      </c>
      <c r="K742" s="42"/>
      <c r="L742" s="484"/>
      <c r="M742" s="42"/>
      <c r="N742" s="42"/>
      <c r="O742" s="42"/>
      <c r="P742" s="42"/>
      <c r="Q742" s="42"/>
      <c r="R742" s="42"/>
      <c r="S742" s="42"/>
      <c r="T742" s="42"/>
      <c r="U742" s="42"/>
    </row>
    <row r="743" spans="1:21" ht="18.75" x14ac:dyDescent="0.25">
      <c r="A743" s="136"/>
      <c r="B743" s="137"/>
      <c r="C743" s="137"/>
      <c r="D743" s="137"/>
      <c r="E743" s="137"/>
      <c r="F743" s="422" t="s">
        <v>273</v>
      </c>
      <c r="G743" s="141"/>
      <c r="H743" s="131" t="s">
        <v>35</v>
      </c>
      <c r="I743" s="189">
        <f ca="1">IFERROR(__xludf.DUMMYFUNCTION("IMPORTRANGE(""https://docs.google.com/spreadsheets/d/1eHaY18a8A9IcSdp1K8H6x8fbOy06t2VsZHhMHf-1x7Y/edit?usp=sharing"",""แผน!GC27"")"),32)</f>
        <v>32</v>
      </c>
      <c r="J743" s="520">
        <v>0</v>
      </c>
      <c r="K743" s="230">
        <f ca="1">IF(I743&gt;0,J743*100/I743,0)</f>
        <v>0</v>
      </c>
      <c r="L743" s="484"/>
      <c r="M743" s="42"/>
      <c r="N743" s="42"/>
      <c r="O743" s="42"/>
      <c r="P743" s="42"/>
      <c r="Q743" s="42"/>
      <c r="R743" s="42"/>
      <c r="S743" s="42"/>
      <c r="T743" s="42"/>
      <c r="U743" s="42"/>
    </row>
    <row r="744" spans="1:21" ht="18.75" x14ac:dyDescent="0.25">
      <c r="A744" s="136"/>
      <c r="B744" s="137"/>
      <c r="C744" s="137"/>
      <c r="D744" s="137"/>
      <c r="E744" s="422" t="s">
        <v>274</v>
      </c>
      <c r="F744" s="137"/>
      <c r="G744" s="141"/>
      <c r="H744" s="181"/>
      <c r="I744" s="41"/>
      <c r="J744" s="41"/>
      <c r="K744" s="42"/>
      <c r="L744" s="484"/>
      <c r="M744" s="42"/>
      <c r="N744" s="42"/>
      <c r="O744" s="42"/>
      <c r="P744" s="42"/>
      <c r="Q744" s="42"/>
      <c r="R744" s="42"/>
      <c r="S744" s="42"/>
      <c r="T744" s="42"/>
      <c r="U744" s="42"/>
    </row>
    <row r="745" spans="1:21" ht="18.75" x14ac:dyDescent="0.25">
      <c r="A745" s="136"/>
      <c r="B745" s="137"/>
      <c r="C745" s="137"/>
      <c r="D745" s="137"/>
      <c r="E745" s="137"/>
      <c r="F745" s="422" t="s">
        <v>271</v>
      </c>
      <c r="G745" s="141"/>
      <c r="H745" s="131" t="s">
        <v>46</v>
      </c>
      <c r="I745" s="189">
        <f ca="1">IFERROR(__xludf.DUMMYFUNCTION("IMPORTRANGE(""https://docs.google.com/spreadsheets/d/1eHaY18a8A9IcSdp1K8H6x8fbOy06t2VsZHhMHf-1x7Y/edit?usp=sharing"",""แผน!GD27"")"),80)</f>
        <v>80</v>
      </c>
      <c r="J745" s="520">
        <v>0</v>
      </c>
      <c r="K745" s="230">
        <f ca="1">IF(I745&gt;0,J745*100/I745,0)</f>
        <v>0</v>
      </c>
      <c r="L745" s="484"/>
      <c r="M745" s="42"/>
      <c r="N745" s="42"/>
      <c r="O745" s="42"/>
      <c r="P745" s="42"/>
      <c r="Q745" s="42"/>
      <c r="R745" s="42"/>
      <c r="S745" s="42"/>
      <c r="T745" s="42"/>
      <c r="U745" s="42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IFERROR(__xludf.DUMMYFUNCTION("IMPORTRANGE(""https://docs.google.com/spreadsheets/d/1eHaY18a8A9IcSdp1K8H6x8fbOy06t2VsZHhMHf-1x7Y/edit?usp=sharing"",""แผน!GE27"")"),8)</f>
        <v>8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IFERROR(__xludf.DUMMYFUNCTION("IMPORTRANGE(""https://docs.google.com/spreadsheets/d/1eHaY18a8A9IcSdp1K8H6x8fbOy06t2VsZHhMHf-1x7Y/edit?usp=sharing"",""แผน!GF27"")"),2)</f>
        <v>2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IFERROR(__xludf.DUMMYFUNCTION("IMPORTRANGE(""https://docs.google.com/spreadsheets/d/1eHaY18a8A9IcSdp1K8H6x8fbOy06t2VsZHhMHf-1x7Y/edit?usp=sharing"",""แผน!GC27"")"),32)</f>
        <v>32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IFERROR(__xludf.DUMMYFUNCTION("IMPORTRANGE(""https://docs.google.com/spreadsheets/d/1eHaY18a8A9IcSdp1K8H6x8fbOy06t2VsZHhMHf-1x7Y/edit?usp=sharing"",""แผน!GE27"")"),8)</f>
        <v>8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60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250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571100</v>
      </c>
      <c r="R760" s="515">
        <f t="shared" ca="1" si="457"/>
        <v>571100</v>
      </c>
      <c r="S760" s="515">
        <f t="shared" ca="1" si="457"/>
        <v>74150</v>
      </c>
      <c r="T760" s="515">
        <f t="shared" ref="T760:T768" ca="1" si="458">IF(Q760&gt;0,S760*100/Q760,0)</f>
        <v>12.983715636490983</v>
      </c>
      <c r="U760" s="515">
        <f t="shared" ref="U760:U768" ca="1" si="459">IF(R760&gt;0,S760*100/R760,0)</f>
        <v>12.983715636490983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571100</v>
      </c>
      <c r="R762" s="230">
        <f t="shared" ca="1" si="461"/>
        <v>571100</v>
      </c>
      <c r="S762" s="230">
        <f t="shared" ca="1" si="461"/>
        <v>74150</v>
      </c>
      <c r="T762" s="230">
        <f t="shared" ca="1" si="458"/>
        <v>12.983715636490983</v>
      </c>
      <c r="U762" s="230">
        <f t="shared" ca="1" si="459"/>
        <v>12.983715636490983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571100</v>
      </c>
      <c r="R763" s="230">
        <f t="shared" ca="1" si="463"/>
        <v>571100</v>
      </c>
      <c r="S763" s="230">
        <f t="shared" ca="1" si="463"/>
        <v>74150</v>
      </c>
      <c r="T763" s="230">
        <f t="shared" ca="1" si="458"/>
        <v>12.983715636490983</v>
      </c>
      <c r="U763" s="230">
        <f t="shared" ca="1" si="459"/>
        <v>12.983715636490983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IFERROR(__xludf.DUMMYFUNCTION("IMPORTRANGE(""https://docs.google.com/spreadsheets/d/1ItG2mGa2ceCfYo0BwxsXqNm01IGEUdYcSSLTEv9YCik/edit?usp=sharing"",""เบิกจ่ายกองทุน!U27"")"),571100)</f>
        <v>571100</v>
      </c>
      <c r="R765" s="230">
        <f ca="1">IFERROR(__xludf.DUMMYFUNCTION("IMPORTRANGE(""https://docs.google.com/spreadsheets/d/1ItG2mGa2ceCfYo0BwxsXqNm01IGEUdYcSSLTEv9YCik/edit?usp=sharing"",""เบิกจ่ายกองทุน!V27"")"),571100)</f>
        <v>571100</v>
      </c>
      <c r="S765" s="230">
        <f ca="1">IFERROR(__xludf.DUMMYFUNCTION("IMPORTRANGE(""https://docs.google.com/spreadsheets/d/1ItG2mGa2ceCfYo0BwxsXqNm01IGEUdYcSSLTEv9YCik/edit?usp=sharing"",""เบิกจ่ายกองทุน!W27"")"),74150)</f>
        <v>74150</v>
      </c>
      <c r="T765" s="230">
        <f t="shared" ca="1" si="458"/>
        <v>12.983715636490983</v>
      </c>
      <c r="U765" s="230">
        <f t="shared" ca="1" si="459"/>
        <v>12.983715636490983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IFERROR(__xludf.DUMMYFUNCTION("IMPORTRANGE(""https://docs.google.com/spreadsheets/d/1eHaY18a8A9IcSdp1K8H6x8fbOy06t2VsZHhMHf-1x7Y/edit?usp=sharing"",""แผน!FI27"")"),0)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IFERROR(__xludf.DUMMYFUNCTION("IMPORTRANGE(""https://docs.google.com/spreadsheets/d/1eHaY18a8A9IcSdp1K8H6x8fbOy06t2VsZHhMHf-1x7Y/edit?usp=sharing"",""แผน!FQ27"")"),60)</f>
        <v>60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IFERROR(__xludf.DUMMYFUNCTION("IMPORTRANGE(""https://docs.google.com/spreadsheets/d/1eHaY18a8A9IcSdp1K8H6x8fbOy06t2VsZHhMHf-1x7Y/edit?usp=sharing"",""แผน!FR27"")"),250)</f>
        <v>250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IFERROR(__xludf.DUMMYFUNCTION("IMPORTRANGE(""https://docs.google.com/spreadsheets/d/1eHaY18a8A9IcSdp1K8H6x8fbOy06t2VsZHhMHf-1x7Y/edit?usp=sharing"",""แผน!FS27"")"),250)</f>
        <v>250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IFERROR(__xludf.DUMMYFUNCTION("IMPORTRANGE(""https://docs.google.com/spreadsheets/d/1eHaY18a8A9IcSdp1K8H6x8fbOy06t2VsZHhMHf-1x7Y/edit?usp=sharing"",""แผน!FT27"")"),60)</f>
        <v>60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IFERROR(__xludf.DUMMYFUNCTION("IMPORTRANGE(""https://docs.google.com/spreadsheets/d/10OvvATaaLtwErnr3qtWFcTmtbfpFEt5Bsqel9sXx0uE/edit?usp=sharing"",""งานกองทุน!D27"")"),6830000)</f>
        <v>6830000</v>
      </c>
      <c r="J778" s="189">
        <f ca="1">IFERROR(__xludf.DUMMYFUNCTION("IMPORTRANGE(""https://docs.google.com/spreadsheets/d/10OvvATaaLtwErnr3qtWFcTmtbfpFEt5Bsqel9sXx0uE/edit?usp=sharing"",""งานกองทุน!F27"")"),1040000)</f>
        <v>1040000</v>
      </c>
      <c r="K778" s="230">
        <f t="shared" ref="K778:K785" ca="1" si="466">IF(I778&gt;0,J778*100/I778,0)</f>
        <v>15.226939970717423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IFERROR(__xludf.DUMMYFUNCTION("IMPORTRANGE(""https://docs.google.com/spreadsheets/d/10OvvATaaLtwErnr3qtWFcTmtbfpFEt5Bsqel9sXx0uE/edit?usp=sharing"",""งานกองทุน!C27"")"),213)</f>
        <v>213</v>
      </c>
      <c r="J779" s="189">
        <f ca="1">IFERROR(__xludf.DUMMYFUNCTION("IMPORTRANGE(""https://docs.google.com/spreadsheets/d/10OvvATaaLtwErnr3qtWFcTmtbfpFEt5Bsqel9sXx0uE/edit?usp=sharing"",""งานกองทุน!E27"")"),30)</f>
        <v>30</v>
      </c>
      <c r="K779" s="230">
        <f t="shared" ca="1" si="466"/>
        <v>14.084507042253522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9">
        <f ca="1">IFERROR(__xludf.DUMMYFUNCTION("IMPORTRANGE(""https://docs.google.com/spreadsheets/d/10OvvATaaLtwErnr3qtWFcTmtbfpFEt5Bsqel9sXx0uE/edit?usp=sharing"",""งานกองทุน!K27"")"),90846.05)</f>
        <v>90846.05</v>
      </c>
      <c r="K780" s="230">
        <f t="shared" ca="1" si="466"/>
        <v>1.6031739388854287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IFERROR(__xludf.DUMMYFUNCTION("IMPORTRANGE(""https://docs.google.com/spreadsheets/d/10OvvATaaLtwErnr3qtWFcTmtbfpFEt5Bsqel9sXx0uE/edit?usp=sharing"",""งานกองทุน!H27"")"),223)</f>
        <v>223</v>
      </c>
      <c r="J781" s="189">
        <f ca="1">IFERROR(__xludf.DUMMYFUNCTION("IMPORTRANGE(""https://docs.google.com/spreadsheets/d/10OvvATaaLtwErnr3qtWFcTmtbfpFEt5Bsqel9sXx0uE/edit?usp=sharing"",""งานกองทุน!J27"")"),12)</f>
        <v>12</v>
      </c>
      <c r="K781" s="230">
        <f t="shared" ca="1" si="466"/>
        <v>5.3811659192825116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9">
        <f ca="1">IFERROR(__xludf.DUMMYFUNCTION("IMPORTRANGE(""https://docs.google.com/spreadsheets/d/10OvvATaaLtwErnr3qtWFcTmtbfpFEt5Bsqel9sXx0uE/edit?usp=sharing"",""งานกองทุน!P27"")"),490302.88)</f>
        <v>490302.88</v>
      </c>
      <c r="K782" s="230">
        <f t="shared" ca="1" si="466"/>
        <v>13.741878157684555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IFERROR(__xludf.DUMMYFUNCTION("IMPORTRANGE(""https://docs.google.com/spreadsheets/d/10OvvATaaLtwErnr3qtWFcTmtbfpFEt5Bsqel9sXx0uE/edit?usp=sharing"",""งานกองทุน!M27"")"),436)</f>
        <v>436</v>
      </c>
      <c r="J783" s="189">
        <f ca="1">IFERROR(__xludf.DUMMYFUNCTION("IMPORTRANGE(""https://docs.google.com/spreadsheets/d/10OvvATaaLtwErnr3qtWFcTmtbfpFEt5Bsqel9sXx0uE/edit?usp=sharing"",""งานกองทุน!O27"")"),104)</f>
        <v>104</v>
      </c>
      <c r="K783" s="230">
        <f t="shared" ca="1" si="466"/>
        <v>23.853211009174313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IFERROR(__xludf.DUMMYFUNCTION("IMPORTRANGE(""https://docs.google.com/spreadsheets/d/10OvvATaaLtwErnr3qtWFcTmtbfpFEt5Bsqel9sXx0uE/edit?usp=sharing"",""งานกองทุน!S27"")"),5656000)</f>
        <v>5656000</v>
      </c>
      <c r="J784" s="189">
        <f ca="1">IFERROR(__xludf.DUMMYFUNCTION("IMPORTRANGE(""https://docs.google.com/spreadsheets/d/10OvvATaaLtwErnr3qtWFcTmtbfpFEt5Bsqel9sXx0uE/edit?usp=sharing"",""งานกองทุน!U27"")"),1040000)</f>
        <v>1040000</v>
      </c>
      <c r="K784" s="230">
        <f t="shared" ca="1" si="466"/>
        <v>18.387553041018389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IFERROR(__xludf.DUMMYFUNCTION("IMPORTRANGE(""https://docs.google.com/spreadsheets/d/10OvvATaaLtwErnr3qtWFcTmtbfpFEt5Bsqel9sXx0uE/edit?usp=sharing"",""งานกองทุน!R27"")"),202)</f>
        <v>202</v>
      </c>
      <c r="J785" s="194">
        <f ca="1">IFERROR(__xludf.DUMMYFUNCTION("IMPORTRANGE(""https://docs.google.com/spreadsheets/d/10OvvATaaLtwErnr3qtWFcTmtbfpFEt5Bsqel9sXx0uE/edit?usp=sharing"",""งานกองทุน!T27"")"),25)</f>
        <v>25</v>
      </c>
      <c r="K785" s="461">
        <f t="shared" ca="1" si="466"/>
        <v>12.376237623762377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8F5F0-BF2D-4371-BD6D-BEDF7CF92916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5.1406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330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2045605</v>
      </c>
      <c r="M19" s="474">
        <f t="shared" ca="1" si="0"/>
        <v>2265393.27</v>
      </c>
      <c r="N19" s="474">
        <f t="shared" ca="1" si="0"/>
        <v>1135045.49</v>
      </c>
      <c r="O19" s="474">
        <f t="shared" ref="O19:O27" ca="1" si="1">IF(L19&gt;0,N19*100/L19,0)</f>
        <v>55.487031465018909</v>
      </c>
      <c r="P19" s="474">
        <f t="shared" ref="P19:P27" ca="1" si="2">IF(M19&gt;0,N19*100/M19,0)</f>
        <v>50.103684204906287</v>
      </c>
      <c r="Q19" s="474">
        <f t="shared" ref="Q19:S19" ca="1" si="3">Q20+Q21</f>
        <v>4290197.1500000004</v>
      </c>
      <c r="R19" s="474">
        <f t="shared" ca="1" si="3"/>
        <v>4165197</v>
      </c>
      <c r="S19" s="474">
        <f t="shared" ca="1" si="3"/>
        <v>0</v>
      </c>
      <c r="T19" s="474">
        <f t="shared" ref="T19:T27" ca="1" si="4">IF(Q19&gt;0,S19*100/Q19,0)</f>
        <v>0</v>
      </c>
      <c r="U19" s="474">
        <f t="shared" ref="U19:U27" ca="1" si="5">IF(R19&gt;0,S19*100/R19,0)</f>
        <v>0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2045605</v>
      </c>
      <c r="M21" s="480">
        <f t="shared" ca="1" si="6"/>
        <v>2265393.27</v>
      </c>
      <c r="N21" s="480">
        <f t="shared" ca="1" si="6"/>
        <v>1135045.49</v>
      </c>
      <c r="O21" s="480">
        <f t="shared" ca="1" si="1"/>
        <v>55.487031465018909</v>
      </c>
      <c r="P21" s="480">
        <f t="shared" ca="1" si="2"/>
        <v>50.103684204906287</v>
      </c>
      <c r="Q21" s="480">
        <f t="shared" ca="1" si="7"/>
        <v>4290197.1500000004</v>
      </c>
      <c r="R21" s="480">
        <f t="shared" ca="1" si="7"/>
        <v>4165197</v>
      </c>
      <c r="S21" s="480">
        <f t="shared" ca="1" si="7"/>
        <v>0</v>
      </c>
      <c r="T21" s="480">
        <f t="shared" ca="1" si="4"/>
        <v>0</v>
      </c>
      <c r="U21" s="480">
        <f t="shared" ca="1" si="5"/>
        <v>0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2045605</v>
      </c>
      <c r="M22" s="230">
        <f t="shared" ca="1" si="8"/>
        <v>2265393.27</v>
      </c>
      <c r="N22" s="230">
        <f t="shared" ca="1" si="8"/>
        <v>1135045.49</v>
      </c>
      <c r="O22" s="230">
        <f t="shared" ca="1" si="1"/>
        <v>55.487031465018909</v>
      </c>
      <c r="P22" s="230">
        <f t="shared" ca="1" si="2"/>
        <v>50.103684204906287</v>
      </c>
      <c r="Q22" s="230">
        <f t="shared" ref="Q22:S22" ca="1" si="9">Q23+Q24</f>
        <v>4290197.1500000004</v>
      </c>
      <c r="R22" s="230">
        <f t="shared" ca="1" si="9"/>
        <v>4165197</v>
      </c>
      <c r="S22" s="230">
        <f t="shared" ca="1" si="9"/>
        <v>0</v>
      </c>
      <c r="T22" s="230">
        <f t="shared" ca="1" si="4"/>
        <v>0</v>
      </c>
      <c r="U22" s="230">
        <f t="shared" ca="1" si="5"/>
        <v>0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2045605</v>
      </c>
      <c r="M24" s="230">
        <f t="shared" ca="1" si="10"/>
        <v>2265393.27</v>
      </c>
      <c r="N24" s="230">
        <f t="shared" ca="1" si="10"/>
        <v>1135045.49</v>
      </c>
      <c r="O24" s="230">
        <f t="shared" ca="1" si="1"/>
        <v>55.487031465018909</v>
      </c>
      <c r="P24" s="230">
        <f t="shared" ca="1" si="2"/>
        <v>50.103684204906287</v>
      </c>
      <c r="Q24" s="230">
        <f t="shared" ca="1" si="11"/>
        <v>4290197.1500000004</v>
      </c>
      <c r="R24" s="230">
        <f t="shared" ca="1" si="11"/>
        <v>4165197</v>
      </c>
      <c r="S24" s="230">
        <f t="shared" ca="1" si="11"/>
        <v>0</v>
      </c>
      <c r="T24" s="230">
        <f t="shared" ca="1" si="4"/>
        <v>0</v>
      </c>
      <c r="U24" s="230">
        <f t="shared" ca="1" si="5"/>
        <v>0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2045605</v>
      </c>
      <c r="M41" s="487">
        <f t="shared" ca="1" si="16"/>
        <v>2265393.27</v>
      </c>
      <c r="N41" s="487">
        <f t="shared" ca="1" si="16"/>
        <v>1135045.49</v>
      </c>
      <c r="O41" s="487">
        <f ca="1">IF(L41&gt;0,N41*100/L41,0)</f>
        <v>55.487031465018909</v>
      </c>
      <c r="P41" s="487">
        <f ca="1">IF(M41&gt;0,N41*100/M41,0)</f>
        <v>50.103684204906287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372970</v>
      </c>
      <c r="M45" s="491">
        <f t="shared" ca="1" si="17"/>
        <v>385028.27</v>
      </c>
      <c r="N45" s="491">
        <f t="shared" ca="1" si="17"/>
        <v>279001.61</v>
      </c>
      <c r="O45" s="491">
        <f t="shared" ref="O45:O53" ca="1" si="18">IF(L45&gt;0,N45*100/L45,0)</f>
        <v>74.805375767488002</v>
      </c>
      <c r="P45" s="491">
        <f t="shared" ref="P45:P53" ca="1" si="19">IF(M45&gt;0,N45*100/M45,0)</f>
        <v>72.46262982196086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372970</v>
      </c>
      <c r="M47" s="497">
        <f t="shared" ca="1" si="23"/>
        <v>385028.27</v>
      </c>
      <c r="N47" s="497">
        <f t="shared" ca="1" si="23"/>
        <v>279001.61</v>
      </c>
      <c r="O47" s="497">
        <f t="shared" ca="1" si="18"/>
        <v>74.805375767488002</v>
      </c>
      <c r="P47" s="497">
        <f t="shared" ca="1" si="19"/>
        <v>72.46262982196086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372970</v>
      </c>
      <c r="M48" s="230">
        <f t="shared" ca="1" si="25"/>
        <v>385028.27</v>
      </c>
      <c r="N48" s="230">
        <f t="shared" ca="1" si="25"/>
        <v>279001.61</v>
      </c>
      <c r="O48" s="230">
        <f t="shared" ca="1" si="18"/>
        <v>74.805375767488002</v>
      </c>
      <c r="P48" s="230">
        <f t="shared" ca="1" si="19"/>
        <v>72.46262982196086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IFERROR(__xludf.DUMMYFUNCTION("IMPORTRANGE(""https://docs.google.com/spreadsheets/d/1-uDff_7J0KD5mKrp0Vvzr7lt3OU09vwQwhkpOPPYv2Y/edit?usp=sharing"",""งบพรบ!P28"")"),372970)</f>
        <v>372970</v>
      </c>
      <c r="M50" s="230">
        <f ca="1">IFERROR(__xludf.DUMMYFUNCTION("IMPORTRANGE(""https://docs.google.com/spreadsheets/d/1-uDff_7J0KD5mKrp0Vvzr7lt3OU09vwQwhkpOPPYv2Y/edit?usp=sharing"",""งบพรบ!V28"")"),385028.27)</f>
        <v>385028.27</v>
      </c>
      <c r="N50" s="230">
        <f ca="1">IFERROR(__xludf.DUMMYFUNCTION("IMPORTRANGE(""https://docs.google.com/spreadsheets/d/1-uDff_7J0KD5mKrp0Vvzr7lt3OU09vwQwhkpOPPYv2Y/edit?usp=sharing"",""งบพรบ!Y28"")"),279001.61)</f>
        <v>279001.61</v>
      </c>
      <c r="O50" s="230">
        <f t="shared" ca="1" si="18"/>
        <v>74.805375767488002</v>
      </c>
      <c r="P50" s="230">
        <f t="shared" ca="1" si="19"/>
        <v>72.46262982196086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IFERROR(__xludf.DUMMYFUNCTION("IMPORTRANGE(""https://docs.google.com/spreadsheets/d/1-uDff_7J0KD5mKrp0Vvzr7lt3OU09vwQwhkpOPPYv2Y/edit?usp=sharing"",""งบพรบ!S28"")"),0)</f>
        <v>0</v>
      </c>
      <c r="M53" s="230">
        <f ca="1">IFERROR(__xludf.DUMMYFUNCTION("IMPORTRANGE(""https://docs.google.com/spreadsheets/d/1-uDff_7J0KD5mKrp0Vvzr7lt3OU09vwQwhkpOPPYv2Y/edit?usp=sharing"",""งบพรบ!W28"")"),0)</f>
        <v>0</v>
      </c>
      <c r="N53" s="230">
        <f ca="1">IFERROR(__xludf.DUMMYFUNCTION("IMPORTRANGE(""https://docs.google.com/spreadsheets/d/1-uDff_7J0KD5mKrp0Vvzr7lt3OU09vwQwhkpOPPYv2Y/edit?usp=sharing"",""งบพรบ!Z28"")"),0)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510600</v>
      </c>
      <c r="M60" s="502">
        <f t="shared" ca="1" si="29"/>
        <v>510600</v>
      </c>
      <c r="N60" s="502">
        <f t="shared" ca="1" si="29"/>
        <v>237414.23</v>
      </c>
      <c r="O60" s="502">
        <f t="shared" ref="O60:O68" ca="1" si="30">IF(L60&gt;0,N60*100/L60,0)</f>
        <v>46.497107324716019</v>
      </c>
      <c r="P60" s="502">
        <f t="shared" ref="P60:P68" ca="1" si="31">IF(M60&gt;0,N60*100/M60,0)</f>
        <v>46.497107324716019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510600</v>
      </c>
      <c r="M62" s="508">
        <f t="shared" ca="1" si="35"/>
        <v>510600</v>
      </c>
      <c r="N62" s="508">
        <f t="shared" ca="1" si="35"/>
        <v>237414.23</v>
      </c>
      <c r="O62" s="508">
        <f t="shared" ca="1" si="30"/>
        <v>46.497107324716019</v>
      </c>
      <c r="P62" s="508">
        <f t="shared" ca="1" si="31"/>
        <v>46.497107324716019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510600</v>
      </c>
      <c r="M63" s="230">
        <f t="shared" ca="1" si="37"/>
        <v>510600</v>
      </c>
      <c r="N63" s="230">
        <f t="shared" ca="1" si="37"/>
        <v>237414.23</v>
      </c>
      <c r="O63" s="230">
        <f t="shared" ca="1" si="30"/>
        <v>46.497107324716019</v>
      </c>
      <c r="P63" s="230">
        <f t="shared" ca="1" si="31"/>
        <v>46.497107324716019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IFERROR(__xludf.DUMMYFUNCTION("IMPORTRANGE(""https://docs.google.com/spreadsheets/d/1-uDff_7J0KD5mKrp0Vvzr7lt3OU09vwQwhkpOPPYv2Y/edit?usp=sharing"",""งบพรบ!AC28"")"),510600)</f>
        <v>510600</v>
      </c>
      <c r="M65" s="230">
        <f ca="1">IFERROR(__xludf.DUMMYFUNCTION("IMPORTRANGE(""https://docs.google.com/spreadsheets/d/1-uDff_7J0KD5mKrp0Vvzr7lt3OU09vwQwhkpOPPYv2Y/edit?usp=sharing"",""งบพรบ!AH28"")"),510600)</f>
        <v>510600</v>
      </c>
      <c r="N65" s="230">
        <f ca="1">IFERROR(__xludf.DUMMYFUNCTION("IMPORTRANGE(""https://docs.google.com/spreadsheets/d/1-uDff_7J0KD5mKrp0Vvzr7lt3OU09vwQwhkpOPPYv2Y/edit?usp=sharing"",""งบพรบ!AJ28"")"),237414.23)</f>
        <v>237414.23</v>
      </c>
      <c r="O65" s="230">
        <f t="shared" ca="1" si="30"/>
        <v>46.497107324716019</v>
      </c>
      <c r="P65" s="230">
        <f t="shared" ca="1" si="31"/>
        <v>46.497107324716019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IFERROR(__xludf.DUMMYFUNCTION("IMPORTRANGE(""https://docs.google.com/spreadsheets/d/1-uDff_7J0KD5mKrp0Vvzr7lt3OU09vwQwhkpOPPYv2Y/edit?usp=sharing"",""งบพรบ!AF28"")"),0)</f>
        <v>0</v>
      </c>
      <c r="M68" s="461">
        <f ca="1">IFERROR(__xludf.DUMMYFUNCTION("IMPORTRANGE(""https://docs.google.com/spreadsheets/d/1-uDff_7J0KD5mKrp0Vvzr7lt3OU09vwQwhkpOPPYv2Y/edit?usp=sharing"",""งบพรบ!AI28"")"),0)</f>
        <v>0</v>
      </c>
      <c r="N68" s="461">
        <f ca="1">IFERROR(__xludf.DUMMYFUNCTION("IMPORTRANGE(""https://docs.google.com/spreadsheets/d/1-uDff_7J0KD5mKrp0Vvzr7lt3OU09vwQwhkpOPPYv2Y/edit?usp=sharing"",""งบพรบ!AK28"")"),0)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2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77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98000</v>
      </c>
      <c r="M73" s="515">
        <f t="shared" ca="1" si="43"/>
        <v>98000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1729763</v>
      </c>
      <c r="R73" s="515">
        <f t="shared" ca="1" si="46"/>
        <v>1729763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98000</v>
      </c>
      <c r="M75" s="230">
        <f t="shared" ca="1" si="49"/>
        <v>98000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1729763</v>
      </c>
      <c r="R75" s="230">
        <f t="shared" ca="1" si="50"/>
        <v>1729763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98000</v>
      </c>
      <c r="M76" s="230">
        <f t="shared" ca="1" si="51"/>
        <v>98000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1729763</v>
      </c>
      <c r="R76" s="230">
        <f t="shared" ca="1" si="52"/>
        <v>1729763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IFERROR(__xludf.DUMMYFUNCTION("IMPORTRANGE(""https://docs.google.com/spreadsheets/d/1-uDff_7J0KD5mKrp0Vvzr7lt3OU09vwQwhkpOPPYv2Y/edit?usp=sharing"",""งบพรบ!AM28"")"),98000)</f>
        <v>98000</v>
      </c>
      <c r="M78" s="230">
        <f ca="1">IFERROR(__xludf.DUMMYFUNCTION("IMPORTRANGE(""https://docs.google.com/spreadsheets/d/1-uDff_7J0KD5mKrp0Vvzr7lt3OU09vwQwhkpOPPYv2Y/edit?usp=sharing"",""งบพรบ!AR28"")"),98000)</f>
        <v>98000</v>
      </c>
      <c r="N78" s="230">
        <f ca="1">IFERROR(__xludf.DUMMYFUNCTION("IMPORTRANGE(""https://docs.google.com/spreadsheets/d/1-uDff_7J0KD5mKrp0Vvzr7lt3OU09vwQwhkpOPPYv2Y/edit?usp=sharing"",""งบพรบ!AT28"")"),0)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IFERROR(__xludf.DUMMYFUNCTION("IMPORTRANGE(""https://docs.google.com/spreadsheets/d/1ItG2mGa2ceCfYo0BwxsXqNm01IGEUdYcSSLTEv9YCik/edit?usp=sharing"",""เบิกจ่ายกองทุน!AS28"")"),1729763)</f>
        <v>1729763</v>
      </c>
      <c r="R78" s="230">
        <f ca="1">IFERROR(__xludf.DUMMYFUNCTION("IMPORTRANGE(""https://docs.google.com/spreadsheets/d/1ItG2mGa2ceCfYo0BwxsXqNm01IGEUdYcSSLTEv9YCik/edit?usp=sharing"",""เบิกจ่ายกองทุน!AT28"")"),1729763)</f>
        <v>1729763</v>
      </c>
      <c r="S78" s="230">
        <f ca="1">IFERROR(__xludf.DUMMYFUNCTION("IMPORTRANGE(""https://docs.google.com/spreadsheets/d/1ItG2mGa2ceCfYo0BwxsXqNm01IGEUdYcSSLTEv9YCik/edit?usp=sharing"",""เบิกจ่ายกองทุน!AU28"")"),0)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IFERROR(__xludf.DUMMYFUNCTION("IMPORTRANGE(""https://docs.google.com/spreadsheets/d/1-uDff_7J0KD5mKrp0Vvzr7lt3OU09vwQwhkpOPPYv2Y/edit?usp=sharing"",""งบพรบ!AP28"")"),0)</f>
        <v>0</v>
      </c>
      <c r="M81" s="230">
        <f ca="1">IFERROR(__xludf.DUMMYFUNCTION("IMPORTRANGE(""https://docs.google.com/spreadsheets/d/1-uDff_7J0KD5mKrp0Vvzr7lt3OU09vwQwhkpOPPYv2Y/edit?usp=sharing"",""งบพรบ!AS28"")"),0)</f>
        <v>0</v>
      </c>
      <c r="N81" s="230">
        <f ca="1">IFERROR(__xludf.DUMMYFUNCTION("IMPORTRANGE(""https://docs.google.com/spreadsheets/d/1-uDff_7J0KD5mKrp0Vvzr7lt3OU09vwQwhkpOPPYv2Y/edit?usp=sharing"",""งบพรบ!AU28"")"),0)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2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77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IFERROR(__xludf.DUMMYFUNCTION("IMPORTRANGE(""https://docs.google.com/spreadsheets/d/1eHaY18a8A9IcSdp1K8H6x8fbOy06t2VsZHhMHf-1x7Y/edit?usp=sharing"",""แผน!H28"")"),1)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IFERROR(__xludf.DUMMYFUNCTION("IMPORTRANGE(""https://docs.google.com/spreadsheets/d/1eHaY18a8A9IcSdp1K8H6x8fbOy06t2VsZHhMHf-1x7Y/edit?usp=sharing"",""แผน!I28"")"),47)</f>
        <v>47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IFERROR(__xludf.DUMMYFUNCTION("IMPORTRANGE(""https://docs.google.com/spreadsheets/d/1eHaY18a8A9IcSdp1K8H6x8fbOy06t2VsZHhMHf-1x7Y/edit?usp=sharing"",""แผน!F28"")"),1)</f>
        <v>1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IFERROR(__xludf.DUMMYFUNCTION("IMPORTRANGE(""https://docs.google.com/spreadsheets/d/1eHaY18a8A9IcSdp1K8H6x8fbOy06t2VsZHhMHf-1x7Y/edit?usp=sharing"",""แผน!G28"")"),30)</f>
        <v>30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IFERROR(__xludf.DUMMYFUNCTION("IMPORTRANGE(""https://docs.google.com/spreadsheets/d/1eHaY18a8A9IcSdp1K8H6x8fbOy06t2VsZHhMHf-1x7Y/edit?usp=sharing"",""แผน!D28"")"),0)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IFERROR(__xludf.DUMMYFUNCTION("IMPORTRANGE(""https://docs.google.com/spreadsheets/d/1eHaY18a8A9IcSdp1K8H6x8fbOy06t2VsZHhMHf-1x7Y/edit?usp=sharing"",""แผน!E28"")"),0)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IFERROR(__xludf.DUMMYFUNCTION("IMPORTRANGE(""https://docs.google.com/spreadsheets/d/1eHaY18a8A9IcSdp1K8H6x8fbOy06t2VsZHhMHf-1x7Y/edit?usp=sharing"",""แผน!J28"")"),2)</f>
        <v>2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IFERROR(__xludf.DUMMYFUNCTION("IMPORTRANGE(""https://docs.google.com/spreadsheets/d/1-uDff_7J0KD5mKrp0Vvzr7lt3OU09vwQwhkpOPPYv2Y/edit?usp=sharing"",""งบพรบ!AW28"")"),0)</f>
        <v>0</v>
      </c>
      <c r="M100" s="230">
        <f ca="1">IFERROR(__xludf.DUMMYFUNCTION("IMPORTRANGE(""https://docs.google.com/spreadsheets/d/1-uDff_7J0KD5mKrp0Vvzr7lt3OU09vwQwhkpOPPYv2Y/edit?usp=sharing"",""งบพรบ!BB28"")"),0)</f>
        <v>0</v>
      </c>
      <c r="N100" s="230">
        <f ca="1">IFERROR(__xludf.DUMMYFUNCTION("IMPORTRANGE(""https://docs.google.com/spreadsheets/d/1-uDff_7J0KD5mKrp0Vvzr7lt3OU09vwQwhkpOPPYv2Y/edit?usp=sharing"",""งบพรบ!BD28"")"),0)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IFERROR(__xludf.DUMMYFUNCTION("IMPORTRANGE(""https://docs.google.com/spreadsheets/d/1ItG2mGa2ceCfYo0BwxsXqNm01IGEUdYcSSLTEv9YCik/edit?usp=sharing"",""เบิกจ่ายกองทุน!AD28"")"),0)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IFERROR(__xludf.DUMMYFUNCTION("IMPORTRANGE(""https://docs.google.com/spreadsheets/d/1ItG2mGa2ceCfYo0BwxsXqNm01IGEUdYcSSLTEv9YCik/edit?usp=sharing"",""เบิกจ่ายกองทุน!AE28"")"),0)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IFERROR(__xludf.DUMMYFUNCTION("IMPORTRANGE(""https://docs.google.com/spreadsheets/d/1ItG2mGa2ceCfYo0BwxsXqNm01IGEUdYcSSLTEv9YCik/edit?usp=sharing"",""เบิกจ่ายกองทุน!AF28"")"),0)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IFERROR(__xludf.DUMMYFUNCTION("IMPORTRANGE(""https://docs.google.com/spreadsheets/d/1-uDff_7J0KD5mKrp0Vvzr7lt3OU09vwQwhkpOPPYv2Y/edit?usp=sharing"",""งบพรบ!AZ28"")"),0)</f>
        <v>0</v>
      </c>
      <c r="M103" s="230">
        <f ca="1">IFERROR(__xludf.DUMMYFUNCTION("IMPORTRANGE(""https://docs.google.com/spreadsheets/d/1-uDff_7J0KD5mKrp0Vvzr7lt3OU09vwQwhkpOPPYv2Y/edit?usp=sharing"",""งบพรบ!BC28"")"),0)</f>
        <v>0</v>
      </c>
      <c r="N103" s="230">
        <f ca="1">IFERROR(__xludf.DUMMYFUNCTION("IMPORTRANGE(""https://docs.google.com/spreadsheets/d/1-uDff_7J0KD5mKrp0Vvzr7lt3OU09vwQwhkpOPPYv2Y/edit?usp=sharing"",""งบพรบ!BE28"")"),0)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IFERROR(__xludf.DUMMYFUNCTION("IMPORTRANGE(""https://docs.google.com/spreadsheets/d/1eHaY18a8A9IcSdp1K8H6x8fbOy06t2VsZHhMHf-1x7Y/edit?usp=sharing"",""แผน!N28"")"),0)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IFERROR(__xludf.DUMMYFUNCTION("IMPORTRANGE(""https://docs.google.com/spreadsheets/d/1eHaY18a8A9IcSdp1K8H6x8fbOy06t2VsZHhMHf-1x7Y/edit?usp=sharing"",""แผน!O28"")"),0)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IFERROR(__xludf.DUMMYFUNCTION("IMPORTRANGE(""https://docs.google.com/spreadsheets/d/1eHaY18a8A9IcSdp1K8H6x8fbOy06t2VsZHhMHf-1x7Y/edit?usp=sharing"",""แผน!R28"")"),0)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100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408480</v>
      </c>
      <c r="R118" s="515">
        <f t="shared" ca="1" si="76"/>
        <v>408480</v>
      </c>
      <c r="S118" s="515">
        <f t="shared" ca="1" si="76"/>
        <v>0</v>
      </c>
      <c r="T118" s="515">
        <f t="shared" ref="T118:T126" ca="1" si="77">IF(Q118&gt;0,S118*100/Q118,0)</f>
        <v>0</v>
      </c>
      <c r="U118" s="515">
        <f t="shared" ref="U118:U126" ca="1" si="78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408480</v>
      </c>
      <c r="R120" s="230">
        <f t="shared" ca="1" si="80"/>
        <v>408480</v>
      </c>
      <c r="S120" s="230">
        <f t="shared" ca="1" si="80"/>
        <v>0</v>
      </c>
      <c r="T120" s="230">
        <f t="shared" ca="1" si="77"/>
        <v>0</v>
      </c>
      <c r="U120" s="230">
        <f t="shared" ca="1" si="78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408480</v>
      </c>
      <c r="R121" s="230">
        <f t="shared" ca="1" si="82"/>
        <v>408480</v>
      </c>
      <c r="S121" s="230">
        <f t="shared" ca="1" si="82"/>
        <v>0</v>
      </c>
      <c r="T121" s="230">
        <f t="shared" ca="1" si="77"/>
        <v>0</v>
      </c>
      <c r="U121" s="230">
        <f t="shared" ca="1" si="78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IFERROR(__xludf.DUMMYFUNCTION("IMPORTRANGE(""https://docs.google.com/spreadsheets/d/1-uDff_7J0KD5mKrp0Vvzr7lt3OU09vwQwhkpOPPYv2Y/edit?usp=sharing"",""งบพรบ!BG28"")"),0)</f>
        <v>0</v>
      </c>
      <c r="M123" s="230">
        <f ca="1">IFERROR(__xludf.DUMMYFUNCTION("IMPORTRANGE(""https://docs.google.com/spreadsheets/d/1-uDff_7J0KD5mKrp0Vvzr7lt3OU09vwQwhkpOPPYv2Y/edit?usp=sharing"",""งบพรบ!BL28"")"),0)</f>
        <v>0</v>
      </c>
      <c r="N123" s="230">
        <f ca="1">IFERROR(__xludf.DUMMYFUNCTION("IMPORTRANGE(""https://docs.google.com/spreadsheets/d/1-uDff_7J0KD5mKrp0Vvzr7lt3OU09vwQwhkpOPPYv2Y/edit?usp=sharing"",""งบพรบ!BN28"")"),0)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IFERROR(__xludf.DUMMYFUNCTION("IMPORTRANGE(""https://docs.google.com/spreadsheets/d/1ItG2mGa2ceCfYo0BwxsXqNm01IGEUdYcSSLTEv9YCik/edit?usp=sharing"",""เบิกจ่ายกองทุน!R28"")"),408480)</f>
        <v>408480</v>
      </c>
      <c r="R123" s="230">
        <f ca="1">IFERROR(__xludf.DUMMYFUNCTION("IMPORTRANGE(""https://docs.google.com/spreadsheets/d/1ItG2mGa2ceCfYo0BwxsXqNm01IGEUdYcSSLTEv9YCik/edit?usp=sharing"",""เบิกจ่ายกองทุน!S28"")"),408480)</f>
        <v>408480</v>
      </c>
      <c r="S123" s="230">
        <f ca="1">IFERROR(__xludf.DUMMYFUNCTION("IMPORTRANGE(""https://docs.google.com/spreadsheets/d/1ItG2mGa2ceCfYo0BwxsXqNm01IGEUdYcSSLTEv9YCik/edit?usp=sharing"",""เบิกจ่ายกองทุน!T28"")"),0)</f>
        <v>0</v>
      </c>
      <c r="T123" s="230">
        <f t="shared" ca="1" si="77"/>
        <v>0</v>
      </c>
      <c r="U123" s="230">
        <f t="shared" ca="1" si="78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IFERROR(__xludf.DUMMYFUNCTION("IMPORTRANGE(""https://docs.google.com/spreadsheets/d/1-uDff_7J0KD5mKrp0Vvzr7lt3OU09vwQwhkpOPPYv2Y/edit?usp=sharing"",""งบพรบ!BJ28"")"),0)</f>
        <v>0</v>
      </c>
      <c r="M126" s="230">
        <f ca="1">IFERROR(__xludf.DUMMYFUNCTION("IMPORTRANGE(""https://docs.google.com/spreadsheets/d/1-uDff_7J0KD5mKrp0Vvzr7lt3OU09vwQwhkpOPPYv2Y/edit?usp=sharing"",""งบพรบ!BM28"")"),0)</f>
        <v>0</v>
      </c>
      <c r="N126" s="230">
        <f ca="1">IFERROR(__xludf.DUMMYFUNCTION("IMPORTRANGE(""https://docs.google.com/spreadsheets/d/1-uDff_7J0KD5mKrp0Vvzr7lt3OU09vwQwhkpOPPYv2Y/edit?usp=sharing"",""งบพรบ!BO28"")"),0)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IFERROR(__xludf.DUMMYFUNCTION("IMPORTRANGE(""https://docs.google.com/spreadsheets/d/1eHaY18a8A9IcSdp1K8H6x8fbOy06t2VsZHhMHf-1x7Y/edit?usp=sharing"",""แผน!FF28"")"),100)</f>
        <v>100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IFERROR(__xludf.DUMMYFUNCTION("IMPORTRANGE(""https://docs.google.com/spreadsheets/d/1eHaY18a8A9IcSdp1K8H6x8fbOy06t2VsZHhMHf-1x7Y/edit?usp=sharing"",""แผน!FG28"")"),0)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IFERROR(__xludf.DUMMYFUNCTION("IMPORTRANGE(""https://docs.google.com/spreadsheets/d/1eHaY18a8A9IcSdp1K8H6x8fbOy06t2VsZHhMHf-1x7Y/edit?usp=sharing"",""แผน!FH28"")"),20)</f>
        <v>20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IFERROR(__xludf.DUMMYFUNCTION("IMPORTRANGE(""https://docs.google.com/spreadsheets/d/1eHaY18a8A9IcSdp1K8H6x8fbOy06t2VsZHhMHf-1x7Y/edit?usp=sharing"",""แผน!FI28"")"),0)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0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0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0</v>
      </c>
      <c r="M140" s="515">
        <f t="shared" ca="1" si="89"/>
        <v>0</v>
      </c>
      <c r="N140" s="515">
        <f t="shared" ca="1" si="89"/>
        <v>0</v>
      </c>
      <c r="O140" s="515">
        <f t="shared" ref="O140:O148" ca="1" si="90">IF(L140&gt;0,N140*100/L140,0)</f>
        <v>0</v>
      </c>
      <c r="P140" s="515">
        <f t="shared" ref="P140:P148" ca="1" si="91">IF(M140&gt;0,N140*100/M140,0)</f>
        <v>0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0</v>
      </c>
      <c r="M142" s="230">
        <f t="shared" ca="1" si="95"/>
        <v>0</v>
      </c>
      <c r="N142" s="230">
        <f t="shared" ca="1" si="95"/>
        <v>0</v>
      </c>
      <c r="O142" s="230">
        <f t="shared" ca="1" si="90"/>
        <v>0</v>
      </c>
      <c r="P142" s="230">
        <f t="shared" ca="1" si="91"/>
        <v>0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0</v>
      </c>
      <c r="M143" s="230">
        <f t="shared" ca="1" si="97"/>
        <v>0</v>
      </c>
      <c r="N143" s="230">
        <f t="shared" ca="1" si="97"/>
        <v>0</v>
      </c>
      <c r="O143" s="230">
        <f t="shared" ca="1" si="90"/>
        <v>0</v>
      </c>
      <c r="P143" s="230">
        <f t="shared" ca="1" si="91"/>
        <v>0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IFERROR(__xludf.DUMMYFUNCTION("IMPORTRANGE(""https://docs.google.com/spreadsheets/d/1-uDff_7J0KD5mKrp0Vvzr7lt3OU09vwQwhkpOPPYv2Y/edit?usp=sharing"",""งบพรบ!BQ28"")"),0)</f>
        <v>0</v>
      </c>
      <c r="M145" s="230">
        <f ca="1">IFERROR(__xludf.DUMMYFUNCTION("IMPORTRANGE(""https://docs.google.com/spreadsheets/d/1-uDff_7J0KD5mKrp0Vvzr7lt3OU09vwQwhkpOPPYv2Y/edit?usp=sharing"",""งบพรบ!BV28"")"),0)</f>
        <v>0</v>
      </c>
      <c r="N145" s="230">
        <f ca="1">IFERROR(__xludf.DUMMYFUNCTION("IMPORTRANGE(""https://docs.google.com/spreadsheets/d/1-uDff_7J0KD5mKrp0Vvzr7lt3OU09vwQwhkpOPPYv2Y/edit?usp=sharing"",""งบพรบ!BX28"")"),0)</f>
        <v>0</v>
      </c>
      <c r="O145" s="230">
        <f t="shared" ca="1" si="90"/>
        <v>0</v>
      </c>
      <c r="P145" s="230">
        <f t="shared" ca="1" si="91"/>
        <v>0</v>
      </c>
      <c r="Q145" s="230">
        <f ca="1">IFERROR(__xludf.DUMMYFUNCTION("IMPORTRANGE(""https://docs.google.com/spreadsheets/d/1ItG2mGa2ceCfYo0BwxsXqNm01IGEUdYcSSLTEv9YCik/edit?usp=sharing"",""เบิกจ่ายกองทุน!BB28"")"),0)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IFERROR(__xludf.DUMMYFUNCTION("IMPORTRANGE(""https://docs.google.com/spreadsheets/d/1ItG2mGa2ceCfYo0BwxsXqNm01IGEUdYcSSLTEv9YCik/edit?usp=sharing"",""เบิกจ่ายกองทุน!BC28"")"),0)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IFERROR(__xludf.DUMMYFUNCTION("IMPORTRANGE(""https://docs.google.com/spreadsheets/d/1ItG2mGa2ceCfYo0BwxsXqNm01IGEUdYcSSLTEv9YCik/edit?usp=sharing"",""เบิกจ่ายกองทุน!BD28"")"),0)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IFERROR(__xludf.DUMMYFUNCTION("IMPORTRANGE(""https://docs.google.com/spreadsheets/d/1-uDff_7J0KD5mKrp0Vvzr7lt3OU09vwQwhkpOPPYv2Y/edit?usp=sharing"",""งบพรบ!BT28"")"),0)</f>
        <v>0</v>
      </c>
      <c r="M148" s="230">
        <f ca="1">IFERROR(__xludf.DUMMYFUNCTION("IMPORTRANGE(""https://docs.google.com/spreadsheets/d/1-uDff_7J0KD5mKrp0Vvzr7lt3OU09vwQwhkpOPPYv2Y/edit?usp=sharing"",""งบพรบ!BW28"")"),0)</f>
        <v>0</v>
      </c>
      <c r="N148" s="230">
        <f ca="1">IFERROR(__xludf.DUMMYFUNCTION("IMPORTRANGE(""https://docs.google.com/spreadsheets/d/1-uDff_7J0KD5mKrp0Vvzr7lt3OU09vwQwhkpOPPYv2Y/edit?usp=sharing"",""งบพรบ!BY28"")"),0)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IFERROR(__xludf.DUMMYFUNCTION("IMPORTRANGE(""https://docs.google.com/spreadsheets/d/1eHaY18a8A9IcSdp1K8H6x8fbOy06t2VsZHhMHf-1x7Y/edit?usp=sharing"",""แผน!U28"")"),0)</f>
        <v>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IFERROR(__xludf.DUMMYFUNCTION("IMPORTRANGE(""https://docs.google.com/spreadsheets/d/1eHaY18a8A9IcSdp1K8H6x8fbOy06t2VsZHhMHf-1x7Y/edit?usp=sharing"",""แผน!V28"")"),0)</f>
        <v>0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IFERROR(__xludf.DUMMYFUNCTION("IMPORTRANGE(""https://docs.google.com/spreadsheets/d/1eHaY18a8A9IcSdp1K8H6x8fbOy06t2VsZHhMHf-1x7Y/edit?usp=sharing"",""แผน!W28"")"),0)</f>
        <v>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IFERROR(__xludf.DUMMYFUNCTION("IMPORTRANGE(""https://docs.google.com/spreadsheets/d/1eHaY18a8A9IcSdp1K8H6x8fbOy06t2VsZHhMHf-1x7Y/edit?usp=sharing"",""แผน!X28"")"),0)</f>
        <v>0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IFERROR(__xludf.DUMMYFUNCTION("IMPORTRANGE(""https://docs.google.com/spreadsheets/d/1eHaY18a8A9IcSdp1K8H6x8fbOy06t2VsZHhMHf-1x7Y/edit?usp=sharing"",""แผน!Y28"")"),0)</f>
        <v>0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I168</f>
        <v>20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6000</v>
      </c>
      <c r="M158" s="515">
        <f t="shared" ca="1" si="103"/>
        <v>11250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6000</v>
      </c>
      <c r="M160" s="230">
        <f t="shared" ca="1" si="109"/>
        <v>11250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6000</v>
      </c>
      <c r="M161" s="230">
        <f t="shared" ca="1" si="111"/>
        <v>11250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IFERROR(__xludf.DUMMYFUNCTION("IMPORTRANGE(""https://docs.google.com/spreadsheets/d/1-uDff_7J0KD5mKrp0Vvzr7lt3OU09vwQwhkpOPPYv2Y/edit?usp=sharing"",""งบพรบ!CA28"")"),6000)</f>
        <v>6000</v>
      </c>
      <c r="M163" s="230">
        <f ca="1">IFERROR(__xludf.DUMMYFUNCTION("IMPORTRANGE(""https://docs.google.com/spreadsheets/d/1-uDff_7J0KD5mKrp0Vvzr7lt3OU09vwQwhkpOPPYv2Y/edit?usp=sharing"",""งบพรบ!CF28"")"),11250)</f>
        <v>11250</v>
      </c>
      <c r="N163" s="230">
        <f ca="1">IFERROR(__xludf.DUMMYFUNCTION("IMPORTRANGE(""https://docs.google.com/spreadsheets/d/1-uDff_7J0KD5mKrp0Vvzr7lt3OU09vwQwhkpOPPYv2Y/edit?usp=sharing"",""งบพรบ!CH28"")"),0)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IFERROR(__xludf.DUMMYFUNCTION("IMPORTRANGE(""https://docs.google.com/spreadsheets/d/1ItG2mGa2ceCfYo0BwxsXqNm01IGEUdYcSSLTEv9YCik/edit?usp=sharing"",""เบิกจ่ายกองทุน!AG28"")"),0)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IFERROR(__xludf.DUMMYFUNCTION("IMPORTRANGE(""https://docs.google.com/spreadsheets/d/1ItG2mGa2ceCfYo0BwxsXqNm01IGEUdYcSSLTEv9YCik/edit?usp=sharing"",""เบิกจ่ายกองทุน!AH28"")"),0)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IFERROR(__xludf.DUMMYFUNCTION("IMPORTRANGE(""https://docs.google.com/spreadsheets/d/1ItG2mGa2ceCfYo0BwxsXqNm01IGEUdYcSSLTEv9YCik/edit?usp=sharing"",""เบิกจ่ายกองทุน!AI28"")"),0)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IFERROR(__xludf.DUMMYFUNCTION("IMPORTRANGE(""https://docs.google.com/spreadsheets/d/1-uDff_7J0KD5mKrp0Vvzr7lt3OU09vwQwhkpOPPYv2Y/edit?usp=sharing"",""งบพรบ!CD28"")"),0)</f>
        <v>0</v>
      </c>
      <c r="M166" s="230">
        <f ca="1">IFERROR(__xludf.DUMMYFUNCTION("IMPORTRANGE(""https://docs.google.com/spreadsheets/d/1-uDff_7J0KD5mKrp0Vvzr7lt3OU09vwQwhkpOPPYv2Y/edit?usp=sharing"",""งบพรบ!CG28"")"),0)</f>
        <v>0</v>
      </c>
      <c r="N166" s="230">
        <f ca="1">IFERROR(__xludf.DUMMYFUNCTION("IMPORTRANGE(""https://docs.google.com/spreadsheets/d/1-uDff_7J0KD5mKrp0Vvzr7lt3OU09vwQwhkpOPPYv2Y/edit?usp=sharing"",""งบพรบ!CI28"")"),0)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IFERROR(__xludf.DUMMYFUNCTION("IMPORTRANGE(""https://docs.google.com/spreadsheets/d/1eHaY18a8A9IcSdp1K8H6x8fbOy06t2VsZHhMHf-1x7Y/edit?usp=sharing"",""แผน!Z28"")"),20)</f>
        <v>20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20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20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244070</v>
      </c>
      <c r="N174" s="515">
        <f t="shared" ca="1" si="117"/>
        <v>224480</v>
      </c>
      <c r="O174" s="515">
        <f t="shared" ref="O174:O182" ca="1" si="118">IF(L174&gt;0,N174*100/L174,0)</f>
        <v>1145.8907605921388</v>
      </c>
      <c r="P174" s="515">
        <f t="shared" ref="P174:P182" ca="1" si="119">IF(M174&gt;0,N174*100/M174,0)</f>
        <v>91.973614127094692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244070</v>
      </c>
      <c r="N176" s="230">
        <f t="shared" ca="1" si="123"/>
        <v>224480</v>
      </c>
      <c r="O176" s="230">
        <f t="shared" ca="1" si="118"/>
        <v>1145.8907605921388</v>
      </c>
      <c r="P176" s="230">
        <f t="shared" ca="1" si="119"/>
        <v>91.973614127094692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244070</v>
      </c>
      <c r="N177" s="230">
        <f t="shared" ca="1" si="125"/>
        <v>224480</v>
      </c>
      <c r="O177" s="230">
        <f t="shared" ca="1" si="118"/>
        <v>1145.8907605921388</v>
      </c>
      <c r="P177" s="230">
        <f t="shared" ca="1" si="119"/>
        <v>91.973614127094692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IFERROR(__xludf.DUMMYFUNCTION("IMPORTRANGE(""https://docs.google.com/spreadsheets/d/1-uDff_7J0KD5mKrp0Vvzr7lt3OU09vwQwhkpOPPYv2Y/edit?usp=sharing"",""งบพรบ!CK28"")"),19590)</f>
        <v>19590</v>
      </c>
      <c r="M179" s="230">
        <f ca="1">IFERROR(__xludf.DUMMYFUNCTION("IMPORTRANGE(""https://docs.google.com/spreadsheets/d/1-uDff_7J0KD5mKrp0Vvzr7lt3OU09vwQwhkpOPPYv2Y/edit?usp=sharing"",""งบพรบ!CP28"")"),244070)</f>
        <v>244070</v>
      </c>
      <c r="N179" s="230">
        <f ca="1">IFERROR(__xludf.DUMMYFUNCTION("IMPORTRANGE(""https://docs.google.com/spreadsheets/d/1-uDff_7J0KD5mKrp0Vvzr7lt3OU09vwQwhkpOPPYv2Y/edit?usp=sharing"",""งบพรบ!CR28"")"),224480)</f>
        <v>224480</v>
      </c>
      <c r="O179" s="230">
        <f t="shared" ca="1" si="118"/>
        <v>1145.8907605921388</v>
      </c>
      <c r="P179" s="230">
        <f t="shared" ca="1" si="119"/>
        <v>91.973614127094692</v>
      </c>
      <c r="Q179" s="230">
        <f ca="1">IFERROR(__xludf.DUMMYFUNCTION("IMPORTRANGE(""https://docs.google.com/spreadsheets/d/1ItG2mGa2ceCfYo0BwxsXqNm01IGEUdYcSSLTEv9YCik/edit?usp=sharing"",""เบิกจ่ายกองทุน!BE28"")"),0)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IFERROR(__xludf.DUMMYFUNCTION("IMPORTRANGE(""https://docs.google.com/spreadsheets/d/1ItG2mGa2ceCfYo0BwxsXqNm01IGEUdYcSSLTEv9YCik/edit?usp=sharing"",""เบิกจ่ายกองทุน!BF28"")"),0)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IFERROR(__xludf.DUMMYFUNCTION("IMPORTRANGE(""https://docs.google.com/spreadsheets/d/1ItG2mGa2ceCfYo0BwxsXqNm01IGEUdYcSSLTEv9YCik/edit?usp=sharing"",""เบิกจ่ายกองทุน!BG28"")"),0)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IFERROR(__xludf.DUMMYFUNCTION("IMPORTRANGE(""https://docs.google.com/spreadsheets/d/1-uDff_7J0KD5mKrp0Vvzr7lt3OU09vwQwhkpOPPYv2Y/edit?usp=sharing"",""งบพรบ!CN28"")"),0)</f>
        <v>0</v>
      </c>
      <c r="M182" s="230">
        <f ca="1">IFERROR(__xludf.DUMMYFUNCTION("IMPORTRANGE(""https://docs.google.com/spreadsheets/d/1-uDff_7J0KD5mKrp0Vvzr7lt3OU09vwQwhkpOPPYv2Y/edit?usp=sharing"",""งบพรบ!CQ28"")"),0)</f>
        <v>0</v>
      </c>
      <c r="N182" s="230">
        <f ca="1">IFERROR(__xludf.DUMMYFUNCTION("IMPORTRANGE(""https://docs.google.com/spreadsheets/d/1-uDff_7J0KD5mKrp0Vvzr7lt3OU09vwQwhkpOPPYv2Y/edit?usp=sharing"",""งบพรบ!CS28"")"),0)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IFERROR(__xludf.DUMMYFUNCTION("IMPORTRANGE(""https://docs.google.com/spreadsheets/d/1eHaY18a8A9IcSdp1K8H6x8fbOy06t2VsZHhMHf-1x7Y/edit?usp=sharing"",""แผน!AA28"")"),7)</f>
        <v>7</v>
      </c>
      <c r="J184" s="520">
        <v>0</v>
      </c>
      <c r="K184" s="230">
        <f t="shared" ref="K184:K186" ca="1" si="129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66500</v>
      </c>
      <c r="M187" s="515">
        <f t="shared" ca="1" si="131"/>
        <v>34500</v>
      </c>
      <c r="N187" s="515">
        <f t="shared" ca="1" si="131"/>
        <v>0</v>
      </c>
      <c r="O187" s="515">
        <f t="shared" ref="O187:O195" ca="1" si="132">IF(L187&gt;0,N187*100/L187,0)</f>
        <v>0</v>
      </c>
      <c r="P187" s="515">
        <f t="shared" ref="P187:P195" ca="1" si="133">IF(M187&gt;0,N187*100/M187,0)</f>
        <v>0</v>
      </c>
      <c r="Q187" s="515">
        <f t="shared" ref="Q187:S187" ca="1" si="134">Q188+Q189</f>
        <v>56000</v>
      </c>
      <c r="R187" s="515">
        <f t="shared" ca="1" si="134"/>
        <v>56000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66500</v>
      </c>
      <c r="M189" s="230">
        <f t="shared" ca="1" si="137"/>
        <v>34500</v>
      </c>
      <c r="N189" s="230">
        <f t="shared" ca="1" si="137"/>
        <v>0</v>
      </c>
      <c r="O189" s="230">
        <f t="shared" ca="1" si="132"/>
        <v>0</v>
      </c>
      <c r="P189" s="230">
        <f t="shared" ca="1" si="133"/>
        <v>0</v>
      </c>
      <c r="Q189" s="230">
        <f t="shared" ca="1" si="138"/>
        <v>56000</v>
      </c>
      <c r="R189" s="230">
        <f t="shared" ca="1" si="138"/>
        <v>56000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66500</v>
      </c>
      <c r="M190" s="230">
        <f t="shared" ca="1" si="139"/>
        <v>34500</v>
      </c>
      <c r="N190" s="230">
        <f t="shared" ca="1" si="139"/>
        <v>0</v>
      </c>
      <c r="O190" s="230">
        <f t="shared" ca="1" si="132"/>
        <v>0</v>
      </c>
      <c r="P190" s="230">
        <f t="shared" ca="1" si="133"/>
        <v>0</v>
      </c>
      <c r="Q190" s="230">
        <f t="shared" ref="Q190:S190" ca="1" si="140">Q191+Q192</f>
        <v>56000</v>
      </c>
      <c r="R190" s="230">
        <f t="shared" ca="1" si="140"/>
        <v>56000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IFERROR(__xludf.DUMMYFUNCTION("IMPORTRANGE(""https://docs.google.com/spreadsheets/d/1-uDff_7J0KD5mKrp0Vvzr7lt3OU09vwQwhkpOPPYv2Y/edit?usp=sharing"",""งบพรบ!CU28"")"),66500)</f>
        <v>66500</v>
      </c>
      <c r="M192" s="230">
        <f ca="1">IFERROR(__xludf.DUMMYFUNCTION("IMPORTRANGE(""https://docs.google.com/spreadsheets/d/1-uDff_7J0KD5mKrp0Vvzr7lt3OU09vwQwhkpOPPYv2Y/edit?usp=sharing"",""งบพรบ!CZ28"")"),34500)</f>
        <v>34500</v>
      </c>
      <c r="N192" s="230">
        <f ca="1">IFERROR(__xludf.DUMMYFUNCTION("IMPORTRANGE(""https://docs.google.com/spreadsheets/d/1-uDff_7J0KD5mKrp0Vvzr7lt3OU09vwQwhkpOPPYv2Y/edit?usp=sharing"",""งบพรบ!DB28"")"),0)</f>
        <v>0</v>
      </c>
      <c r="O192" s="230">
        <f t="shared" ca="1" si="132"/>
        <v>0</v>
      </c>
      <c r="P192" s="230">
        <f t="shared" ca="1" si="133"/>
        <v>0</v>
      </c>
      <c r="Q192" s="230">
        <f ca="1">IFERROR(__xludf.DUMMYFUNCTION("IMPORTRANGE(""https://docs.google.com/spreadsheets/d/1ItG2mGa2ceCfYo0BwxsXqNm01IGEUdYcSSLTEv9YCik/edit?usp=sharing"",""เบิกจ่ายกองทุน!AV28"")"),56000)</f>
        <v>56000</v>
      </c>
      <c r="R192" s="230">
        <f ca="1">IFERROR(__xludf.DUMMYFUNCTION("IMPORTRANGE(""https://docs.google.com/spreadsheets/d/1ItG2mGa2ceCfYo0BwxsXqNm01IGEUdYcSSLTEv9YCik/edit?usp=sharing"",""เบิกจ่ายกองทุน!AW28"")"),56000)</f>
        <v>56000</v>
      </c>
      <c r="S192" s="230">
        <f ca="1">IFERROR(__xludf.DUMMYFUNCTION("IMPORTRANGE(""https://docs.google.com/spreadsheets/d/1ItG2mGa2ceCfYo0BwxsXqNm01IGEUdYcSSLTEv9YCik/edit?usp=sharing"",""เบิกจ่ายกองทุน!AX28"")"),0)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IFERROR(__xludf.DUMMYFUNCTION("IMPORTRANGE(""https://docs.google.com/spreadsheets/d/1-uDff_7J0KD5mKrp0Vvzr7lt3OU09vwQwhkpOPPYv2Y/edit?usp=sharing"",""งบพรบ!CX28"")"),0)</f>
        <v>0</v>
      </c>
      <c r="M195" s="230">
        <f ca="1">IFERROR(__xludf.DUMMYFUNCTION("IMPORTRANGE(""https://docs.google.com/spreadsheets/d/1-uDff_7J0KD5mKrp0Vvzr7lt3OU09vwQwhkpOPPYv2Y/edit?usp=sharing"",""งบพรบ!DA28"")"),0)</f>
        <v>0</v>
      </c>
      <c r="N195" s="230">
        <f ca="1">IFERROR(__xludf.DUMMYFUNCTION("IMPORTRANGE(""https://docs.google.com/spreadsheets/d/1-uDff_7J0KD5mKrp0Vvzr7lt3OU09vwQwhkpOPPYv2Y/edit?usp=sharing"",""งบพรบ!DC28"")"),0)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IFERROR(__xludf.DUMMYFUNCTION("IMPORTRANGE(""https://docs.google.com/spreadsheets/d/1eHaY18a8A9IcSdp1K8H6x8fbOy06t2VsZHhMHf-1x7Y/edit?usp=sharing"",""แผน!AB28"")"),6000)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IFERROR(__xludf.DUMMYFUNCTION("IMPORTRANGE(""https://docs.google.com/spreadsheets/d/1eHaY18a8A9IcSdp1K8H6x8fbOy06t2VsZHhMHf-1x7Y/edit?usp=sharing"",""แผน!AE28"")"),4)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4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52000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IFERROR(__xludf.DUMMYFUNCTION("IMPORTRANGE(""https://docs.google.com/spreadsheets/d/1eHaY18a8A9IcSdp1K8H6x8fbOy06t2VsZHhMHf-1x7Y/edit?usp=sharing"",""แผน!AG28"")"),4000)</f>
        <v>4000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IFERROR(__xludf.DUMMYFUNCTION("IMPORTRANGE(""https://docs.google.com/spreadsheets/d/1eHaY18a8A9IcSdp1K8H6x8fbOy06t2VsZHhMHf-1x7Y/edit?usp=sharing"",""แผน!AH28"")"),0)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IFERROR(__xludf.DUMMYFUNCTION("IMPORTRANGE(""https://docs.google.com/spreadsheets/d/1eHaY18a8A9IcSdp1K8H6x8fbOy06t2VsZHhMHf-1x7Y/edit?usp=sharing"",""แผน!AI28"")"),32000)</f>
        <v>32000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IFERROR(__xludf.DUMMYFUNCTION("IMPORTRANGE(""https://docs.google.com/spreadsheets/d/1eHaY18a8A9IcSdp1K8H6x8fbOy06t2VsZHhMHf-1x7Y/edit?usp=sharing"",""แผน!AJ28"")"),16000)</f>
        <v>16000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IFERROR(__xludf.DUMMYFUNCTION("IMPORTRANGE(""https://docs.google.com/spreadsheets/d/1eHaY18a8A9IcSdp1K8H6x8fbOy06t2VsZHhMHf-1x7Y/edit?usp=sharing"",""แผน!AK28"")"),4)</f>
        <v>4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IFERROR(__xludf.DUMMYFUNCTION("IMPORTRANGE(""https://docs.google.com/spreadsheets/d/1eHaY18a8A9IcSdp1K8H6x8fbOy06t2VsZHhMHf-1x7Y/edit?usp=sharing"",""แผน!JX28"")"),4)</f>
        <v>4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IFERROR(__xludf.DUMMYFUNCTION("IMPORTRANGE(""https://docs.google.com/spreadsheets/d/1eHaY18a8A9IcSdp1K8H6x8fbOy06t2VsZHhMHf-1x7Y/edit?usp=sharing"",""แผน!JY28"")"),0)</f>
        <v>0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IFERROR(__xludf.DUMMYFUNCTION("IMPORTRANGE(""https://docs.google.com/spreadsheets/d/1eHaY18a8A9IcSdp1K8H6x8fbOy06t2VsZHhMHf-1x7Y/edit?usp=sharing"",""แผน!AM28"")"),0)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IFERROR(__xludf.DUMMYFUNCTION("IMPORTRANGE(""https://docs.google.com/spreadsheets/d/1eHaY18a8A9IcSdp1K8H6x8fbOy06t2VsZHhMHf-1x7Y/edit?usp=sharing"",""แผน!AN28"")"),0)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IFERROR(__xludf.DUMMYFUNCTION("IMPORTRANGE(""https://docs.google.com/spreadsheets/d/1eHaY18a8A9IcSdp1K8H6x8fbOy06t2VsZHhMHf-1x7Y/edit?usp=sharing"",""แผน!AO28"")"),0)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IFERROR(__xludf.DUMMYFUNCTION("IMPORTRANGE(""https://docs.google.com/spreadsheets/d/1eHaY18a8A9IcSdp1K8H6x8fbOy06t2VsZHhMHf-1x7Y/edit?usp=sharing"",""แผน!AP28"")"),0)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IFERROR(__xludf.DUMMYFUNCTION("IMPORTRANGE(""https://docs.google.com/spreadsheets/d/1eHaY18a8A9IcSdp1K8H6x8fbOy06t2VsZHhMHf-1x7Y/edit?usp=sharing"",""แผน!AP28"")"),0)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50000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IFERROR(__xludf.DUMMYFUNCTION("IMPORTRANGE(""https://docs.google.com/spreadsheets/d/1eHaY18a8A9IcSdp1K8H6x8fbOy06t2VsZHhMHf-1x7Y/edit?usp=sharing"",""แผน!AR28"")"),7000)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IFERROR(__xludf.DUMMYFUNCTION("IMPORTRANGE(""https://docs.google.com/spreadsheets/d/1eHaY18a8A9IcSdp1K8H6x8fbOy06t2VsZHhMHf-1x7Y/edit?usp=sharing"",""แผน!AS28"")"),1500)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IFERROR(__xludf.DUMMYFUNCTION("IMPORTRANGE(""https://docs.google.com/spreadsheets/d/1eHaY18a8A9IcSdp1K8H6x8fbOy06t2VsZHhMHf-1x7Y/edit?usp=sharing"",""แผน!AT28"")"),0)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IFERROR(__xludf.DUMMYFUNCTION("IMPORTRANGE(""https://docs.google.com/spreadsheets/d/1eHaY18a8A9IcSdp1K8H6x8fbOy06t2VsZHhMHf-1x7Y/edit?usp=sharing"",""แผน!AV28"")"),50000)</f>
        <v>50000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IFERROR(__xludf.DUMMYFUNCTION("IMPORTRANGE(""https://docs.google.com/spreadsheets/d/1eHaY18a8A9IcSdp1K8H6x8fbOy06t2VsZHhMHf-1x7Y/edit?usp=sharing"",""แผน!AV28"")"),50000)</f>
        <v>50000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IFERROR(__xludf.DUMMYFUNCTION("IMPORTRANGE(""https://docs.google.com/spreadsheets/d/1eHaY18a8A9IcSdp1K8H6x8fbOy06t2VsZHhMHf-1x7Y/edit?usp=sharing"",""แผน!AU28"")"),0)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IFERROR(__xludf.DUMMYFUNCTION("IMPORTRANGE(""https://docs.google.com/spreadsheets/d/1eHaY18a8A9IcSdp1K8H6x8fbOy06t2VsZHhMHf-1x7Y/edit?usp=sharing"",""แผน!AX28"")"),0)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IFERROR(__xludf.DUMMYFUNCTION("IMPORTRANGE(""https://docs.google.com/spreadsheets/d/1eHaY18a8A9IcSdp1K8H6x8fbOy06t2VsZHhMHf-1x7Y/edit?usp=sharing"",""แผน!AY28"")"),0)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IFERROR(__xludf.DUMMYFUNCTION("IMPORTRANGE(""https://docs.google.com/spreadsheets/d/1eHaY18a8A9IcSdp1K8H6x8fbOy06t2VsZHhMHf-1x7Y/edit?usp=sharing"",""แผน!AZ28"")"),0)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IFERROR(__xludf.DUMMYFUNCTION("IMPORTRANGE(""https://docs.google.com/spreadsheets/d/1eHaY18a8A9IcSdp1K8H6x8fbOy06t2VsZHhMHf-1x7Y/edit?usp=sharing"",""แผน!BA28"")"),0)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IFERROR(__xludf.DUMMYFUNCTION("IMPORTRANGE(""https://docs.google.com/spreadsheets/d/1eHaY18a8A9IcSdp1K8H6x8fbOy06t2VsZHhMHf-1x7Y/edit?usp=sharing"",""แผน!BG28"")"),0)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IFERROR(__xludf.DUMMYFUNCTION("IMPORTRANGE(""https://docs.google.com/spreadsheets/d/1eHaY18a8A9IcSdp1K8H6x8fbOy06t2VsZHhMHf-1x7Y/edit?usp=sharing"",""แผน!BB28"")"),0)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IFERROR(__xludf.DUMMYFUNCTION("IMPORTRANGE(""https://docs.google.com/spreadsheets/d/1eHaY18a8A9IcSdp1K8H6x8fbOy06t2VsZHhMHf-1x7Y/edit?usp=sharing"",""แผน!BC28"")"),0)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IFERROR(__xludf.DUMMYFUNCTION("IMPORTRANGE(""https://docs.google.com/spreadsheets/d/1eHaY18a8A9IcSdp1K8H6x8fbOy06t2VsZHhMHf-1x7Y/edit?usp=sharing"",""แผน!BD28"")"),0)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IFERROR(__xludf.DUMMYFUNCTION("IMPORTRANGE(""https://docs.google.com/spreadsheets/d/1eHaY18a8A9IcSdp1K8H6x8fbOy06t2VsZHhMHf-1x7Y/edit?usp=sharing"",""แผน!BE28"")"),0)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IFERROR(__xludf.DUMMYFUNCTION("IMPORTRANGE(""https://docs.google.com/spreadsheets/d/1eHaY18a8A9IcSdp1K8H6x8fbOy06t2VsZHhMHf-1x7Y/edit?usp=sharing"",""แผน!BH28"")"),0)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24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53440</v>
      </c>
      <c r="R267" s="583">
        <f t="shared" ca="1" si="164"/>
        <v>53440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53440</v>
      </c>
      <c r="R269" s="592">
        <f t="shared" ca="1" si="168"/>
        <v>53440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53440</v>
      </c>
      <c r="R270" s="592">
        <f t="shared" ca="1" si="170"/>
        <v>53440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IFERROR(__xludf.DUMMYFUNCTION("IMPORTRANGE(""https://docs.google.com/spreadsheets/d/1-uDff_7J0KD5mKrp0Vvzr7lt3OU09vwQwhkpOPPYv2Y/edit?usp=sharing"",""งบพรบ!DE28"")"),0)</f>
        <v>0</v>
      </c>
      <c r="M272" s="592">
        <f ca="1">IFERROR(__xludf.DUMMYFUNCTION("IMPORTRANGE(""https://docs.google.com/spreadsheets/d/1-uDff_7J0KD5mKrp0Vvzr7lt3OU09vwQwhkpOPPYv2Y/edit?usp=sharing"",""งบพรบ!DJ28"")"),5000)</f>
        <v>5000</v>
      </c>
      <c r="N272" s="592">
        <f ca="1">IFERROR(__xludf.DUMMYFUNCTION("IMPORTRANGE(""https://docs.google.com/spreadsheets/d/1-uDff_7J0KD5mKrp0Vvzr7lt3OU09vwQwhkpOPPYv2Y/edit?usp=sharing"",""งบพรบ!DL28"")"),0)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IFERROR(__xludf.DUMMYFUNCTION("IMPORTRANGE(""https://docs.google.com/spreadsheets/d/1ItG2mGa2ceCfYo0BwxsXqNm01IGEUdYcSSLTEv9YCik/edit?usp=sharing"",""เบิกจ่ายกองทุน!AJ28"")"),53440)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IFERROR(__xludf.DUMMYFUNCTION("IMPORTRANGE(""https://docs.google.com/spreadsheets/d/1ItG2mGa2ceCfYo0BwxsXqNm01IGEUdYcSSLTEv9YCik/edit?usp=sharing"",""เบิกจ่ายกองทุน!AK28"")"),53440)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IFERROR(__xludf.DUMMYFUNCTION("IMPORTRANGE(""https://docs.google.com/spreadsheets/d/1ItG2mGa2ceCfYo0BwxsXqNm01IGEUdYcSSLTEv9YCik/edit?usp=sharing"",""เบิกจ่ายกองทุน!AL28"")"),0)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IFERROR(__xludf.DUMMYFUNCTION("IMPORTRANGE(""https://docs.google.com/spreadsheets/d/1-uDff_7J0KD5mKrp0Vvzr7lt3OU09vwQwhkpOPPYv2Y/edit?usp=sharing"",""งบพรบ!DH28"")"),0)</f>
        <v>0</v>
      </c>
      <c r="M275" s="592">
        <f ca="1">IFERROR(__xludf.DUMMYFUNCTION("IMPORTRANGE(""https://docs.google.com/spreadsheets/d/1-uDff_7J0KD5mKrp0Vvzr7lt3OU09vwQwhkpOPPYv2Y/edit?usp=sharing"",""งบพรบ!DK28"")"),0)</f>
        <v>0</v>
      </c>
      <c r="N275" s="592">
        <f ca="1">IFERROR(__xludf.DUMMYFUNCTION("IMPORTRANGE(""https://docs.google.com/spreadsheets/d/1-uDff_7J0KD5mKrp0Vvzr7lt3OU09vwQwhkpOPPYv2Y/edit?usp=sharing"",""งบพรบ!DM28"")"),0)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IFERROR(__xludf.DUMMYFUNCTION("IMPORTRANGE(""https://docs.google.com/spreadsheets/d/1eHaY18a8A9IcSdp1K8H6x8fbOy06t2VsZHhMHf-1x7Y/edit?usp=sharing"",""แผน!EC28"")"),24)</f>
        <v>24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20</v>
      </c>
      <c r="J281" s="619">
        <f t="shared" si="173"/>
        <v>0</v>
      </c>
      <c r="K281" s="620">
        <f t="shared" ref="K281:K282" ca="1" si="174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200</v>
      </c>
      <c r="J282" s="619">
        <f t="shared" si="175"/>
        <v>0</v>
      </c>
      <c r="K282" s="620">
        <f t="shared" ca="1" si="174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155220</v>
      </c>
      <c r="M283" s="515">
        <f t="shared" ca="1" si="176"/>
        <v>155220</v>
      </c>
      <c r="N283" s="515">
        <f t="shared" ca="1" si="176"/>
        <v>50619</v>
      </c>
      <c r="O283" s="515">
        <f t="shared" ref="O283:O291" ca="1" si="177">IF(L283&gt;0,N283*100/L283,0)</f>
        <v>32.61113258600696</v>
      </c>
      <c r="P283" s="515">
        <f t="shared" ref="P283:P291" ca="1" si="178">IF(M283&gt;0,N283*100/M283,0)</f>
        <v>32.61113258600696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155220</v>
      </c>
      <c r="M285" s="230">
        <f t="shared" ca="1" si="182"/>
        <v>155220</v>
      </c>
      <c r="N285" s="230">
        <f t="shared" ca="1" si="182"/>
        <v>50619</v>
      </c>
      <c r="O285" s="230">
        <f t="shared" ca="1" si="177"/>
        <v>32.61113258600696</v>
      </c>
      <c r="P285" s="230">
        <f t="shared" ca="1" si="178"/>
        <v>32.61113258600696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155220</v>
      </c>
      <c r="M286" s="230">
        <f t="shared" ca="1" si="184"/>
        <v>155220</v>
      </c>
      <c r="N286" s="230">
        <f t="shared" ca="1" si="184"/>
        <v>50619</v>
      </c>
      <c r="O286" s="230">
        <f t="shared" ca="1" si="177"/>
        <v>32.61113258600696</v>
      </c>
      <c r="P286" s="230">
        <f t="shared" ca="1" si="178"/>
        <v>32.61113258600696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IFERROR(__xludf.DUMMYFUNCTION("IMPORTRANGE(""https://docs.google.com/spreadsheets/d/1-uDff_7J0KD5mKrp0Vvzr7lt3OU09vwQwhkpOPPYv2Y/edit?usp=sharing"",""งบพรบ!DO28"")"),155220)</f>
        <v>155220</v>
      </c>
      <c r="M288" s="230">
        <f ca="1">IFERROR(__xludf.DUMMYFUNCTION("IMPORTRANGE(""https://docs.google.com/spreadsheets/d/1-uDff_7J0KD5mKrp0Vvzr7lt3OU09vwQwhkpOPPYv2Y/edit?usp=sharing"",""งบพรบ!DT28"")"),155220)</f>
        <v>155220</v>
      </c>
      <c r="N288" s="230">
        <f ca="1">IFERROR(__xludf.DUMMYFUNCTION("IMPORTRANGE(""https://docs.google.com/spreadsheets/d/1-uDff_7J0KD5mKrp0Vvzr7lt3OU09vwQwhkpOPPYv2Y/edit?usp=sharing"",""งบพรบ!DV28"")"),50619)</f>
        <v>50619</v>
      </c>
      <c r="O288" s="230">
        <f t="shared" ca="1" si="177"/>
        <v>32.61113258600696</v>
      </c>
      <c r="P288" s="230">
        <f t="shared" ca="1" si="178"/>
        <v>32.61113258600696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IFERROR(__xludf.DUMMYFUNCTION("IMPORTRANGE(""https://docs.google.com/spreadsheets/d/1-uDff_7J0KD5mKrp0Vvzr7lt3OU09vwQwhkpOPPYv2Y/edit?usp=sharing"",""งบพรบ!DR28"")"),0)</f>
        <v>0</v>
      </c>
      <c r="M291" s="230">
        <f ca="1">IFERROR(__xludf.DUMMYFUNCTION("IMPORTRANGE(""https://docs.google.com/spreadsheets/d/1-uDff_7J0KD5mKrp0Vvzr7lt3OU09vwQwhkpOPPYv2Y/edit?usp=sharing"",""งบพรบ!DU28"")"),0)</f>
        <v>0</v>
      </c>
      <c r="N291" s="230">
        <f ca="1">IFERROR(__xludf.DUMMYFUNCTION("IMPORTRANGE(""https://docs.google.com/spreadsheets/d/1-uDff_7J0KD5mKrp0Vvzr7lt3OU09vwQwhkpOPPYv2Y/edit?usp=sharing"",""งบพรบ!DW28"")"),0)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IFERROR(__xludf.DUMMYFUNCTION("IMPORTRANGE(""https://docs.google.com/spreadsheets/d/1eHaY18a8A9IcSdp1K8H6x8fbOy06t2VsZHhMHf-1x7Y/edit?usp=sharing"",""แผน!EE28"")"),200)</f>
        <v>200</v>
      </c>
      <c r="J293" s="520">
        <v>0</v>
      </c>
      <c r="K293" s="521">
        <f t="shared" ref="K293:K294" ca="1" si="188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IFERROR(__xludf.DUMMYFUNCTION("IMPORTRANGE(""https://docs.google.com/spreadsheets/d/1eHaY18a8A9IcSdp1K8H6x8fbOy06t2VsZHhMHf-1x7Y/edit?usp=sharing"",""แผน!ED28"")"),20)</f>
        <v>20</v>
      </c>
      <c r="J294" s="340">
        <f>J297</f>
        <v>0</v>
      </c>
      <c r="K294" s="518">
        <f t="shared" ca="1" si="188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IFERROR(__xludf.DUMMYFUNCTION("IMPORTRANGE(""https://docs.google.com/spreadsheets/d/1eHaY18a8A9IcSdp1K8H6x8fbOy06t2VsZHhMHf-1x7Y/edit?usp=sharing"",""แผน!ED28"")"),20)</f>
        <v>20</v>
      </c>
      <c r="J296" s="520">
        <v>0</v>
      </c>
      <c r="K296" s="521">
        <f t="shared" ref="K296:K297" ca="1" si="189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IFERROR(__xludf.DUMMYFUNCTION("IMPORTRANGE(""https://docs.google.com/spreadsheets/d/1eHaY18a8A9IcSdp1K8H6x8fbOy06t2VsZHhMHf-1x7Y/edit?usp=sharing"",""แผน!ED28"")"),20)</f>
        <v>20</v>
      </c>
      <c r="J297" s="520">
        <v>0</v>
      </c>
      <c r="K297" s="521">
        <f t="shared" ca="1" si="189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50</v>
      </c>
      <c r="J303" s="623">
        <f t="shared" si="190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0</v>
      </c>
      <c r="M304" s="515">
        <f t="shared" ca="1" si="191"/>
        <v>0</v>
      </c>
      <c r="N304" s="515">
        <f t="shared" ca="1" si="191"/>
        <v>0</v>
      </c>
      <c r="O304" s="515">
        <f t="shared" ref="O304:O312" ca="1" si="192">IF(L304&gt;0,N304*100/L304,0)</f>
        <v>0</v>
      </c>
      <c r="P304" s="515">
        <f t="shared" ref="P304:P312" ca="1" si="193">IF(M304&gt;0,N304*100/M304,0)</f>
        <v>0</v>
      </c>
      <c r="Q304" s="515">
        <f t="shared" ref="Q304:S304" ca="1" si="194">Q305+Q306</f>
        <v>374853.15</v>
      </c>
      <c r="R304" s="515">
        <f t="shared" ca="1" si="194"/>
        <v>374853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0</v>
      </c>
      <c r="M306" s="230">
        <f t="shared" ca="1" si="197"/>
        <v>0</v>
      </c>
      <c r="N306" s="230">
        <f t="shared" ca="1" si="197"/>
        <v>0</v>
      </c>
      <c r="O306" s="230">
        <f t="shared" ca="1" si="192"/>
        <v>0</v>
      </c>
      <c r="P306" s="230">
        <f t="shared" ca="1" si="193"/>
        <v>0</v>
      </c>
      <c r="Q306" s="230">
        <f t="shared" ca="1" si="198"/>
        <v>374853.15</v>
      </c>
      <c r="R306" s="230">
        <f t="shared" ca="1" si="198"/>
        <v>374853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0</v>
      </c>
      <c r="M307" s="230">
        <f t="shared" ca="1" si="199"/>
        <v>0</v>
      </c>
      <c r="N307" s="230">
        <f t="shared" ca="1" si="199"/>
        <v>0</v>
      </c>
      <c r="O307" s="230">
        <f t="shared" ca="1" si="192"/>
        <v>0</v>
      </c>
      <c r="P307" s="230">
        <f t="shared" ca="1" si="193"/>
        <v>0</v>
      </c>
      <c r="Q307" s="230">
        <f t="shared" ref="Q307:S307" ca="1" si="200">Q308+Q309</f>
        <v>374853.15</v>
      </c>
      <c r="R307" s="230">
        <f t="shared" ca="1" si="200"/>
        <v>374853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IFERROR(__xludf.DUMMYFUNCTION("IMPORTRANGE(""https://docs.google.com/spreadsheets/d/1-uDff_7J0KD5mKrp0Vvzr7lt3OU09vwQwhkpOPPYv2Y/edit?usp=sharing"",""งบพรบ!DY28"")"),0)</f>
        <v>0</v>
      </c>
      <c r="M309" s="230">
        <f ca="1">IFERROR(__xludf.DUMMYFUNCTION("IMPORTRANGE(""https://docs.google.com/spreadsheets/d/1-uDff_7J0KD5mKrp0Vvzr7lt3OU09vwQwhkpOPPYv2Y/edit?usp=sharing"",""งบพรบ!ED28"")"),0)</f>
        <v>0</v>
      </c>
      <c r="N309" s="230">
        <f ca="1">IFERROR(__xludf.DUMMYFUNCTION("IMPORTRANGE(""https://docs.google.com/spreadsheets/d/1-uDff_7J0KD5mKrp0Vvzr7lt3OU09vwQwhkpOPPYv2Y/edit?usp=sharing"",""งบพรบ!EF28"")"),0)</f>
        <v>0</v>
      </c>
      <c r="O309" s="230">
        <f t="shared" ca="1" si="192"/>
        <v>0</v>
      </c>
      <c r="P309" s="230">
        <f t="shared" ca="1" si="193"/>
        <v>0</v>
      </c>
      <c r="Q309" s="230">
        <f ca="1">IFERROR(__xludf.DUMMYFUNCTION("IMPORTRANGE(""https://docs.google.com/spreadsheets/d/1ItG2mGa2ceCfYo0BwxsXqNm01IGEUdYcSSLTEv9YCik/edit?usp=sharing"",""เบิกจ่ายกองทุน!AP28"")"),374853.15)</f>
        <v>374853.15</v>
      </c>
      <c r="R309" s="230">
        <f ca="1">IFERROR(__xludf.DUMMYFUNCTION("IMPORTRANGE(""https://docs.google.com/spreadsheets/d/1ItG2mGa2ceCfYo0BwxsXqNm01IGEUdYcSSLTEv9YCik/edit?usp=sharing"",""เบิกจ่ายกองทุน!AQ28"")"),374853)</f>
        <v>374853</v>
      </c>
      <c r="S309" s="230">
        <f ca="1">IFERROR(__xludf.DUMMYFUNCTION("IMPORTRANGE(""https://docs.google.com/spreadsheets/d/1ItG2mGa2ceCfYo0BwxsXqNm01IGEUdYcSSLTEv9YCik/edit?usp=sharing"",""เบิกจ่ายกองทุน!AR28"")"),0)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IFERROR(__xludf.DUMMYFUNCTION("IMPORTRANGE(""https://docs.google.com/spreadsheets/d/1-uDff_7J0KD5mKrp0Vvzr7lt3OU09vwQwhkpOPPYv2Y/edit?usp=sharing"",""งบพรบ!EB28"")"),0)</f>
        <v>0</v>
      </c>
      <c r="M312" s="230">
        <f ca="1">IFERROR(__xludf.DUMMYFUNCTION("IMPORTRANGE(""https://docs.google.com/spreadsheets/d/1-uDff_7J0KD5mKrp0Vvzr7lt3OU09vwQwhkpOPPYv2Y/edit?usp=sharing"",""งบพรบ!EE28"")"),0)</f>
        <v>0</v>
      </c>
      <c r="N312" s="230">
        <f ca="1">IFERROR(__xludf.DUMMYFUNCTION("IMPORTRANGE(""https://docs.google.com/spreadsheets/d/1-uDff_7J0KD5mKrp0Vvzr7lt3OU09vwQwhkpOPPYv2Y/edit?usp=sharing"",""งบพรบ!EG28"")"),0)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IFERROR(__xludf.DUMMYFUNCTION("IMPORTRANGE(""https://docs.google.com/spreadsheets/d/1eHaY18a8A9IcSdp1K8H6x8fbOy06t2VsZHhMHf-1x7Y/edit?usp=sharing"",""แผน!EF28"")"),50)</f>
        <v>50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IFERROR(__xludf.DUMMYFUNCTION("IMPORTRANGE(""https://docs.google.com/spreadsheets/d/1-uDff_7J0KD5mKrp0Vvzr7lt3OU09vwQwhkpOPPYv2Y/edit?usp=sharing"",""งบพรบ!EI28"")"),0)</f>
        <v>0</v>
      </c>
      <c r="M326" s="230">
        <f ca="1">IFERROR(__xludf.DUMMYFUNCTION("IMPORTRANGE(""https://docs.google.com/spreadsheets/d/1-uDff_7J0KD5mKrp0Vvzr7lt3OU09vwQwhkpOPPYv2Y/edit?usp=sharing"",""งบพรบ!EN28"")"),0)</f>
        <v>0</v>
      </c>
      <c r="N326" s="230">
        <f ca="1">IFERROR(__xludf.DUMMYFUNCTION("IMPORTRANGE(""https://docs.google.com/spreadsheets/d/1-uDff_7J0KD5mKrp0Vvzr7lt3OU09vwQwhkpOPPYv2Y/edit?usp=sharing"",""งบพรบ!EP28"")"),0)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IFERROR(__xludf.DUMMYFUNCTION("IMPORTRANGE(""https://docs.google.com/spreadsheets/d/1-uDff_7J0KD5mKrp0Vvzr7lt3OU09vwQwhkpOPPYv2Y/edit?usp=sharing"",""งบพรบ!EL28"")"),0)</f>
        <v>0</v>
      </c>
      <c r="M329" s="230">
        <f ca="1">IFERROR(__xludf.DUMMYFUNCTION("IMPORTRANGE(""https://docs.google.com/spreadsheets/d/1-uDff_7J0KD5mKrp0Vvzr7lt3OU09vwQwhkpOPPYv2Y/edit?usp=sharing"",""งบพรบ!EO28"")"),0)</f>
        <v>0</v>
      </c>
      <c r="N329" s="230">
        <f ca="1">IFERROR(__xludf.DUMMYFUNCTION("IMPORTRANGE(""https://docs.google.com/spreadsheets/d/1-uDff_7J0KD5mKrp0Vvzr7lt3OU09vwQwhkpOPPYv2Y/edit?usp=sharing"",""งบพรบ!EQ28"")"),0)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IFERROR(__xludf.DUMMYFUNCTION("IMPORTRANGE(""https://docs.google.com/spreadsheets/d/1eHaY18a8A9IcSdp1K8H6x8fbOy06t2VsZHhMHf-1x7Y/edit?usp=sharing"",""แผน!EJ28"")"),0)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3740</v>
      </c>
      <c r="J333" s="635">
        <f ca="1">J345+J348+J349+J350+J354</f>
        <v>5280</v>
      </c>
      <c r="K333" s="636">
        <f ca="1">IF(I333&gt;0,J333*100/I333,0)</f>
        <v>141.1764705882353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116000</v>
      </c>
      <c r="M334" s="515">
        <f t="shared" ca="1" si="216"/>
        <v>121000</v>
      </c>
      <c r="N334" s="515">
        <f t="shared" ca="1" si="216"/>
        <v>45470</v>
      </c>
      <c r="O334" s="515">
        <f t="shared" ref="O334:O342" ca="1" si="217">IF(L334&gt;0,N334*100/L334,0)</f>
        <v>39.198275862068968</v>
      </c>
      <c r="P334" s="515">
        <f t="shared" ref="P334:P342" ca="1" si="218">IF(M334&gt;0,N334*100/M334,0)</f>
        <v>37.578512396694215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116000</v>
      </c>
      <c r="M336" s="230">
        <f t="shared" ca="1" si="222"/>
        <v>121000</v>
      </c>
      <c r="N336" s="230">
        <f t="shared" ca="1" si="222"/>
        <v>45470</v>
      </c>
      <c r="O336" s="230">
        <f t="shared" ca="1" si="217"/>
        <v>39.198275862068968</v>
      </c>
      <c r="P336" s="230">
        <f t="shared" ca="1" si="218"/>
        <v>37.578512396694215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116000</v>
      </c>
      <c r="M337" s="230">
        <f t="shared" ca="1" si="224"/>
        <v>121000</v>
      </c>
      <c r="N337" s="230">
        <f t="shared" ca="1" si="224"/>
        <v>45470</v>
      </c>
      <c r="O337" s="230">
        <f t="shared" ca="1" si="217"/>
        <v>39.198275862068968</v>
      </c>
      <c r="P337" s="230">
        <f t="shared" ca="1" si="218"/>
        <v>37.578512396694215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IFERROR(__xludf.DUMMYFUNCTION("IMPORTRANGE(""https://docs.google.com/spreadsheets/d/1-uDff_7J0KD5mKrp0Vvzr7lt3OU09vwQwhkpOPPYv2Y/edit?usp=sharing"",""งบพรบ!ES28"")"),116000)</f>
        <v>116000</v>
      </c>
      <c r="M339" s="230">
        <f ca="1">IFERROR(__xludf.DUMMYFUNCTION("IMPORTRANGE(""https://docs.google.com/spreadsheets/d/1-uDff_7J0KD5mKrp0Vvzr7lt3OU09vwQwhkpOPPYv2Y/edit?usp=sharing"",""งบพรบ!EX28"")"),121000)</f>
        <v>121000</v>
      </c>
      <c r="N339" s="230">
        <f ca="1">IFERROR(__xludf.DUMMYFUNCTION("IMPORTRANGE(""https://docs.google.com/spreadsheets/d/1-uDff_7J0KD5mKrp0Vvzr7lt3OU09vwQwhkpOPPYv2Y/edit?usp=sharing"",""งบพรบ!EZ28"")"),45470)</f>
        <v>45470</v>
      </c>
      <c r="O339" s="230">
        <f t="shared" ca="1" si="217"/>
        <v>39.198275862068968</v>
      </c>
      <c r="P339" s="230">
        <f t="shared" ca="1" si="218"/>
        <v>37.578512396694215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IFERROR(__xludf.DUMMYFUNCTION("IMPORTRANGE(""https://docs.google.com/spreadsheets/d/1-uDff_7J0KD5mKrp0Vvzr7lt3OU09vwQwhkpOPPYv2Y/edit?usp=sharing"",""งบพรบ!EV28"")"),0)</f>
        <v>0</v>
      </c>
      <c r="M342" s="230">
        <f ca="1">IFERROR(__xludf.DUMMYFUNCTION("IMPORTRANGE(""https://docs.google.com/spreadsheets/d/1-uDff_7J0KD5mKrp0Vvzr7lt3OU09vwQwhkpOPPYv2Y/edit?usp=sharing"",""งบพรบ!EY28"")"),0)</f>
        <v>0</v>
      </c>
      <c r="N342" s="230">
        <f ca="1">IFERROR(__xludf.DUMMYFUNCTION("IMPORTRANGE(""https://docs.google.com/spreadsheets/d/1-uDff_7J0KD5mKrp0Vvzr7lt3OU09vwQwhkpOPPYv2Y/edit?usp=sharing"",""งบพรบ!FA28"")"),0)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1250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IFERROR(__xludf.DUMMYFUNCTION("IMPORTRANGE(""https://docs.google.com/spreadsheets/d/1eHaY18a8A9IcSdp1K8H6x8fbOy06t2VsZHhMHf-1x7Y/edit?usp=sharing"",""แผน!EK28"")"),3740)</f>
        <v>3740</v>
      </c>
      <c r="J345" s="189">
        <f ca="1">IFERROR(__xludf.DUMMYFUNCTION("IMPORTRANGE(""https://docs.google.com/spreadsheets/d/1awYsYK3VOup2i3Pq_Yjnu8DRu_mYwSBnCR2QPthd0rU/edit?usp=sharing"",""ศูนย์ยกเว้นโฉนด!D28"")"),1086)</f>
        <v>1086</v>
      </c>
      <c r="K345" s="230">
        <f ca="1">IF(I345&gt;0,J345*100/I345,0)</f>
        <v>29.037433155080215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IFERROR(__xludf.DUMMYFUNCTION("IMPORTRANGE(""https://docs.google.com/spreadsheets/d/1eHaY18a8A9IcSdp1K8H6x8fbOy06t2VsZHhMHf-1x7Y/edit?usp=sharing"",""แผน!EL28"")"),5)</f>
        <v>5</v>
      </c>
      <c r="J347" s="189">
        <f ca="1">IFERROR(__xludf.DUMMYFUNCTION("IMPORTRANGE(""https://docs.google.com/spreadsheets/d/1awYsYK3VOup2i3Pq_Yjnu8DRu_mYwSBnCR2QPthd0rU/edit?usp=sharing"",""ศูนย์รวม!E28"")"),3)</f>
        <v>3</v>
      </c>
      <c r="K347" s="230">
        <f ca="1">IF(I347&gt;0,J347*100/I347,0)</f>
        <v>60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IFERROR(__xludf.DUMMYFUNCTION("IMPORTRANGE(""https://docs.google.com/spreadsheets/d/1awYsYK3VOup2i3Pq_Yjnu8DRu_mYwSBnCR2QPthd0rU/edit?usp=sharing"",""ศูนย์ยกเว้นโฉนด!F28"")"),160)</f>
        <v>160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IFERROR(__xludf.DUMMYFUNCTION("IMPORTRANGE(""https://docs.google.com/spreadsheets/d/1awYsYK3VOup2i3Pq_Yjnu8DRu_mYwSBnCR2QPthd0rU/edit?usp=sharing"",""ศูนย์ยกเว้นโฉนด!G28"")"),4)</f>
        <v>4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IFERROR(__xludf.DUMMYFUNCTION("IMPORTRANGE(""https://docs.google.com/spreadsheets/d/1awYsYK3VOup2i3Pq_Yjnu8DRu_mYwSBnCR2QPthd0rU/edit?usp=sharing"",""ศูนย์ยกเว้นโฉนด!H28"")"),0)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5117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IFERROR(__xludf.DUMMYFUNCTION("IMPORTRANGE(""https://docs.google.com/spreadsheets/d/1awYsYK3VOup2i3Pq_Yjnu8DRu_mYwSBnCR2QPthd0rU/edit?usp=sharing"",""โฉนดM3!G28"")"),1087)</f>
        <v>1087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IFERROR(__xludf.DUMMYFUNCTION("IMPORTRANGE(""https://docs.google.com/spreadsheets/d/1awYsYK3VOup2i3Pq_Yjnu8DRu_mYwSBnCR2QPthd0rU/edit?usp=sharing"",""โฉนดM3!H28"")"),4030)</f>
        <v>4030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700725</v>
      </c>
      <c r="M357" s="515">
        <f t="shared" ca="1" si="228"/>
        <v>700725</v>
      </c>
      <c r="N357" s="515">
        <f t="shared" ca="1" si="228"/>
        <v>298060.65000000002</v>
      </c>
      <c r="O357" s="515">
        <f t="shared" ref="O357:O365" ca="1" si="229">IF(L357&gt;0,N357*100/L357,0)</f>
        <v>42.536037675264907</v>
      </c>
      <c r="P357" s="515">
        <f t="shared" ref="P357:P365" ca="1" si="230">IF(M357&gt;0,N357*100/M357,0)</f>
        <v>42.536037675264907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700725</v>
      </c>
      <c r="M359" s="230">
        <f t="shared" ca="1" si="234"/>
        <v>700725</v>
      </c>
      <c r="N359" s="230">
        <f t="shared" ca="1" si="234"/>
        <v>298060.65000000002</v>
      </c>
      <c r="O359" s="230">
        <f t="shared" ca="1" si="229"/>
        <v>42.536037675264907</v>
      </c>
      <c r="P359" s="230">
        <f t="shared" ca="1" si="230"/>
        <v>42.536037675264907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700725</v>
      </c>
      <c r="M360" s="230">
        <f t="shared" ca="1" si="236"/>
        <v>700725</v>
      </c>
      <c r="N360" s="230">
        <f t="shared" ca="1" si="236"/>
        <v>298060.65000000002</v>
      </c>
      <c r="O360" s="230">
        <f t="shared" ca="1" si="229"/>
        <v>42.536037675264907</v>
      </c>
      <c r="P360" s="230">
        <f t="shared" ca="1" si="230"/>
        <v>42.536037675264907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IFERROR(__xludf.DUMMYFUNCTION("IMPORTRANGE(""https://docs.google.com/spreadsheets/d/1-uDff_7J0KD5mKrp0Vvzr7lt3OU09vwQwhkpOPPYv2Y/edit?usp=sharing"",""งบพรบ!FC28"")"),700725)</f>
        <v>700725</v>
      </c>
      <c r="M362" s="230">
        <f ca="1">IFERROR(__xludf.DUMMYFUNCTION("IMPORTRANGE(""https://docs.google.com/spreadsheets/d/1-uDff_7J0KD5mKrp0Vvzr7lt3OU09vwQwhkpOPPYv2Y/edit?usp=sharing"",""งบพรบ!FH28"")"),700725)</f>
        <v>700725</v>
      </c>
      <c r="N362" s="230">
        <f ca="1">IFERROR(__xludf.DUMMYFUNCTION("IMPORTRANGE(""https://docs.google.com/spreadsheets/d/1-uDff_7J0KD5mKrp0Vvzr7lt3OU09vwQwhkpOPPYv2Y/edit?usp=sharing"",""งบพรบ!FJ28"")"),298060.65)</f>
        <v>298060.65000000002</v>
      </c>
      <c r="O362" s="230">
        <f t="shared" ca="1" si="229"/>
        <v>42.536037675264907</v>
      </c>
      <c r="P362" s="230">
        <f t="shared" ca="1" si="230"/>
        <v>42.536037675264907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IFERROR(__xludf.DUMMYFUNCTION("IMPORTRANGE(""https://docs.google.com/spreadsheets/d/1-uDff_7J0KD5mKrp0Vvzr7lt3OU09vwQwhkpOPPYv2Y/edit?usp=sharing"",""งบพรบ!FF28"")"),0)</f>
        <v>0</v>
      </c>
      <c r="M365" s="230">
        <f ca="1">IFERROR(__xludf.DUMMYFUNCTION("IMPORTRANGE(""https://docs.google.com/spreadsheets/d/1-uDff_7J0KD5mKrp0Vvzr7lt3OU09vwQwhkpOPPYv2Y/edit?usp=sharing"",""งบพรบ!FI28"")"),0)</f>
        <v>0</v>
      </c>
      <c r="N365" s="230">
        <f ca="1">IFERROR(__xludf.DUMMYFUNCTION("IMPORTRANGE(""https://docs.google.com/spreadsheets/d/1-uDff_7J0KD5mKrp0Vvzr7lt3OU09vwQwhkpOPPYv2Y/edit?usp=sharing"",""งบพรบ!FK28"")"),0)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189</v>
      </c>
      <c r="J366" s="313">
        <f t="shared" ca="1" si="240"/>
        <v>222</v>
      </c>
      <c r="K366" s="314">
        <f ca="1">IF(I366&gt;0,J366*100/I366,0)</f>
        <v>117.46031746031746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IFERROR(__xludf.DUMMYFUNCTION("IMPORTRANGE(""https://docs.google.com/spreadsheets/d/1tdoBKaGub7dwA3U6UFTqxio9LNnvDCQjHKmttSEBsFQ/edit?usp=sharing"",""จัดที่ดิน!AB28"")"),72)</f>
        <v>72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IFERROR(__xludf.DUMMYFUNCTION("IMPORTRANGE(""https://docs.google.com/spreadsheets/d/1eHaY18a8A9IcSdp1K8H6x8fbOy06t2VsZHhMHf-1x7Y/edit?usp=sharing"",""แผน!EW28"")"),1710)</f>
        <v>1710</v>
      </c>
      <c r="J369" s="646">
        <f ca="1">IFERROR(__xludf.DUMMYFUNCTION("IMPORTRANGE(""https://docs.google.com/spreadsheets/d/1tdoBKaGub7dwA3U6UFTqxio9LNnvDCQjHKmttSEBsFQ/edit?usp=sharing"",""จัดที่ดิน!AC28"")"),701.859999999999)</f>
        <v>701.85999999999899</v>
      </c>
      <c r="K369" s="230">
        <f t="shared" ca="1" si="241"/>
        <v>41.044444444444387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IFERROR(__xludf.DUMMYFUNCTION("IMPORTRANGE(""https://docs.google.com/spreadsheets/d/1eHaY18a8A9IcSdp1K8H6x8fbOy06t2VsZHhMHf-1x7Y/edit?usp=sharing"",""แผน!EX28"")"),288)</f>
        <v>288</v>
      </c>
      <c r="J370" s="189">
        <f ca="1">IFERROR(__xludf.DUMMYFUNCTION("IMPORTRANGE(""https://docs.google.com/spreadsheets/d/1tdoBKaGub7dwA3U6UFTqxio9LNnvDCQjHKmttSEBsFQ/edit?usp=sharing"",""จัดที่ดิน!AD28"")"),250)</f>
        <v>250</v>
      </c>
      <c r="K370" s="230">
        <f t="shared" ca="1" si="241"/>
        <v>86.805555555555557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IFERROR(__xludf.DUMMYFUNCTION("IMPORTRANGE(""https://docs.google.com/spreadsheets/d/1tdoBKaGub7dwA3U6UFTqxio9LNnvDCQjHKmttSEBsFQ/edit?usp=sharing"",""จัดที่ดิน!AE28"")"),2950.3)</f>
        <v>2950.3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IFERROR(__xludf.DUMMYFUNCTION("IMPORTRANGE(""https://docs.google.com/spreadsheets/d/1eHaY18a8A9IcSdp1K8H6x8fbOy06t2VsZHhMHf-1x7Y/edit?usp=sharing"",""แผน!EY28"")"),189)</f>
        <v>189</v>
      </c>
      <c r="J372" s="189">
        <f ca="1">IFERROR(__xludf.DUMMYFUNCTION("IMPORTRANGE(""https://docs.google.com/spreadsheets/d/1tdoBKaGub7dwA3U6UFTqxio9LNnvDCQjHKmttSEBsFQ/edit?usp=sharing"",""จัดที่ดิน!AF28"")"),222)</f>
        <v>222</v>
      </c>
      <c r="K372" s="230">
        <f t="shared" ca="1" si="241"/>
        <v>117.46031746031746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IFERROR(__xludf.DUMMYFUNCTION("IMPORTRANGE(""https://docs.google.com/spreadsheets/d/1tdoBKaGub7dwA3U6UFTqxio9LNnvDCQjHKmttSEBsFQ/edit?usp=sharing"",""จัดที่ดิน!AG28"")"),2756.19)</f>
        <v>2756.19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2000</v>
      </c>
      <c r="J375" s="654">
        <f t="shared" ca="1" si="242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125000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125000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125000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IFERROR(__xludf.DUMMYFUNCTION("IMPORTRANGE(""https://docs.google.com/spreadsheets/d/1ItG2mGa2ceCfYo0BwxsXqNm01IGEUdYcSSLTEv9YCik/edit?usp=sharing"",""เบิกจ่ายกองทุน!AY28"")"),125000)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IFERROR(__xludf.DUMMYFUNCTION("IMPORTRANGE(""https://docs.google.com/spreadsheets/d/1ItG2mGa2ceCfYo0BwxsXqNm01IGEUdYcSSLTEv9YCik/edit?usp=sharing"",""เบิกจ่ายกองทุน!AZ28"")"),0)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IFERROR(__xludf.DUMMYFUNCTION("IMPORTRANGE(""https://docs.google.com/spreadsheets/d/1ItG2mGa2ceCfYo0BwxsXqNm01IGEUdYcSSLTEv9YCik/edit?usp=sharing"",""เบิกจ่ายกองทุน!BA28"")"),0)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IFERROR(__xludf.DUMMYFUNCTION("IMPORTRANGE(""https://docs.google.com/spreadsheets/d/1w5rwWK1o49a35cNtocGL0gxDwhFSTZUQu90BiH9_zqM/edit?usp=sharing"",""RTK!H28"")"),0)</f>
        <v>0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IFERROR(__xludf.DUMMYFUNCTION("IMPORTRANGE(""https://docs.google.com/spreadsheets/d/1w5rwWK1o49a35cNtocGL0gxDwhFSTZUQu90BiH9_zqM/edit?usp=sharing"",""RTK!G28"")"),2000)</f>
        <v>2000</v>
      </c>
      <c r="J387" s="189">
        <f ca="1">IFERROR(__xludf.DUMMYFUNCTION("IMPORTRANGE(""https://docs.google.com/spreadsheets/d/1w5rwWK1o49a35cNtocGL0gxDwhFSTZUQu90BiH9_zqM/edit?usp=sharing"",""RTK!I28"")"),0)</f>
        <v>0</v>
      </c>
      <c r="K387" s="230">
        <f t="shared" ca="1" si="255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IFERROR(__xludf.DUMMYFUNCTION("IMPORTRANGE(""https://docs.google.com/spreadsheets/d/1w5rwWK1o49a35cNtocGL0gxDwhFSTZUQu90BiH9_zqM/edit?usp=sharing"",""RTK!L28"")"),0)</f>
        <v>0</v>
      </c>
      <c r="K388" s="592">
        <f t="shared" si="255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IFERROR(__xludf.DUMMYFUNCTION("IMPORTRANGE(""https://docs.google.com/spreadsheets/d/1w5rwWK1o49a35cNtocGL0gxDwhFSTZUQu90BiH9_zqM/edit?usp=sharing"",""RTK!K28"")"),0)</f>
        <v>0</v>
      </c>
      <c r="J389" s="661">
        <f ca="1">IFERROR(__xludf.DUMMYFUNCTION("IMPORTRANGE(""https://docs.google.com/spreadsheets/d/1w5rwWK1o49a35cNtocGL0gxDwhFSTZUQu90BiH9_zqM/edit?usp=sharing"",""RTK!M28"")"),0)</f>
        <v>0</v>
      </c>
      <c r="K389" s="592">
        <f t="shared" ca="1" si="255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IFERROR(__xludf.DUMMYFUNCTION("IMPORTRANGE(""https://docs.google.com/spreadsheets/d/1ItG2mGa2ceCfYo0BwxsXqNm01IGEUdYcSSLTEv9YCik/edit?usp=sharing"",""เบิกจ่ายกองทุน!BH28"")"),0)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IFERROR(__xludf.DUMMYFUNCTION("IMPORTRANGE(""https://docs.google.com/spreadsheets/d/1ItG2mGa2ceCfYo0BwxsXqNm01IGEUdYcSSLTEv9YCik/edit?usp=sharing"",""เบิกจ่ายกองทุน!BI28"")"),0)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IFERROR(__xludf.DUMMYFUNCTION("IMPORTRANGE(""https://docs.google.com/spreadsheets/d/1ItG2mGa2ceCfYo0BwxsXqNm01IGEUdYcSSLTEv9YCik/edit?usp=sharing"",""เบิกจ่ายกองทุน!BJ28"")"),0)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IFERROR(__xludf.DUMMYFUNCTION("IMPORTRANGE(""https://docs.google.com/spreadsheets/d/1eHaY18a8A9IcSdp1K8H6x8fbOy06t2VsZHhMHf-1x7Y/edit?usp=sharing"",""แผน!HJ28"")"),0)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IFERROR(__xludf.DUMMYFUNCTION("IMPORTRANGE(""https://docs.google.com/spreadsheets/d/1eHaY18a8A9IcSdp1K8H6x8fbOy06t2VsZHhMHf-1x7Y/edit?usp=sharing"",""แผน!HK28"")"),0)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IFERROR(__xludf.DUMMYFUNCTION("IMPORTRANGE(""https://docs.google.com/spreadsheets/d/1eHaY18a8A9IcSdp1K8H6x8fbOy06t2VsZHhMHf-1x7Y/edit?usp=sharing"",""แผน!HJ28"")"),0)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IFERROR(__xludf.DUMMYFUNCTION("IMPORTRANGE(""https://docs.google.com/spreadsheets/d/1eHaY18a8A9IcSdp1K8H6x8fbOy06t2VsZHhMHf-1x7Y/edit?usp=sharing"",""แผน!HK28"")"),0)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IFERROR(__xludf.DUMMYFUNCTION("IMPORTRANGE(""https://docs.google.com/spreadsheets/d/1eHaY18a8A9IcSdp1K8H6x8fbOy06t2VsZHhMHf-1x7Y/edit?usp=sharing"",""แผน!HJ28"")"),0)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IFERROR(__xludf.DUMMYFUNCTION("IMPORTRANGE(""https://docs.google.com/spreadsheets/d/1eHaY18a8A9IcSdp1K8H6x8fbOy06t2VsZHhMHf-1x7Y/edit?usp=sharing"",""แผน!HK28"")"),0)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IFERROR(__xludf.DUMMYFUNCTION("IMPORTRANGE(""https://docs.google.com/spreadsheets/d/1eHaY18a8A9IcSdp1K8H6x8fbOy06t2VsZHhMHf-1x7Y/edit?usp=sharing"",""แผน!HL28"")"),0)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IFERROR(__xludf.DUMMYFUNCTION("IMPORTRANGE(""https://docs.google.com/spreadsheets/d/1eHaY18a8A9IcSdp1K8H6x8fbOy06t2VsZHhMHf-1x7Y/edit?usp=sharing"",""แผน!HM28"")"),0)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IFERROR(__xludf.DUMMYFUNCTION("IMPORTRANGE(""https://docs.google.com/spreadsheets/d/1eHaY18a8A9IcSdp1K8H6x8fbOy06t2VsZHhMHf-1x7Y/edit?usp=sharing"",""แผน!HN28"")"),0)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IFERROR(__xludf.DUMMYFUNCTION("IMPORTRANGE(""https://docs.google.com/spreadsheets/d/1eHaY18a8A9IcSdp1K8H6x8fbOy06t2VsZHhMHf-1x7Y/edit?usp=sharing"",""แผน!HO28"")"),0)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IFERROR(__xludf.DUMMYFUNCTION("IMPORTRANGE(""https://docs.google.com/spreadsheets/d/1ItG2mGa2ceCfYo0BwxsXqNm01IGEUdYcSSLTEv9YCik/edit?usp=sharing"",""เบิกจ่ายกองทุน!X28"")"),0)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IFERROR(__xludf.DUMMYFUNCTION("IMPORTRANGE(""https://docs.google.com/spreadsheets/d/1ItG2mGa2ceCfYo0BwxsXqNm01IGEUdYcSSLTEv9YCik/edit?usp=sharing"",""เบิกจ่ายกองทุน!Y28"")"),0)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IFERROR(__xludf.DUMMYFUNCTION("IMPORTRANGE(""https://docs.google.com/spreadsheets/d/1ItG2mGa2ceCfYo0BwxsXqNm01IGEUdYcSSLTEv9YCik/edit?usp=sharing"",""เบิกจ่ายกองทุน!Z28"")"),0)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IFERROR(__xludf.DUMMYFUNCTION("IMPORTRANGE(""https://docs.google.com/spreadsheets/d/1eHaY18a8A9IcSdp1K8H6x8fbOy06t2VsZHhMHf-1x7Y/edit?usp=sharing"",""แผน!GX28"")"),0)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IFERROR(__xludf.DUMMYFUNCTION("IMPORTRANGE(""https://docs.google.com/spreadsheets/d/1eHaY18a8A9IcSdp1K8H6x8fbOy06t2VsZHhMHf-1x7Y/edit?usp=sharing"",""แผน!GY28"")"),0)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IFERROR(__xludf.DUMMYFUNCTION("IMPORTRANGE(""https://docs.google.com/spreadsheets/d/1eHaY18a8A9IcSdp1K8H6x8fbOy06t2VsZHhMHf-1x7Y/edit?usp=sharing"",""แผน!GZ28"")"),0)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IFERROR(__xludf.DUMMYFUNCTION("IMPORTRANGE(""https://docs.google.com/spreadsheets/d/1eHaY18a8A9IcSdp1K8H6x8fbOy06t2VsZHhMHf-1x7Y/edit?usp=sharing"",""แผน!HA28"")"),0)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IFERROR(__xludf.DUMMYFUNCTION("IMPORTRANGE(""https://docs.google.com/spreadsheets/d/1eHaY18a8A9IcSdp1K8H6x8fbOy06t2VsZHhMHf-1x7Y/edit?usp=sharing"",""แผน!HB28"")"),0)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IFERROR(__xludf.DUMMYFUNCTION("IMPORTRANGE(""https://docs.google.com/spreadsheets/d/1eHaY18a8A9IcSdp1K8H6x8fbOy06t2VsZHhMHf-1x7Y/edit?usp=sharing"",""แผน!HC28"")"),0)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IFERROR(__xludf.DUMMYFUNCTION("IMPORTRANGE(""https://docs.google.com/spreadsheets/d/1-uDff_7J0KD5mKrp0Vvzr7lt3OU09vwQwhkpOPPYv2Y/edit?usp=sharing"",""งบพรบ!FM28"")"),0)</f>
        <v>0</v>
      </c>
      <c r="M519" s="230">
        <f ca="1">IFERROR(__xludf.DUMMYFUNCTION("IMPORTRANGE(""https://docs.google.com/spreadsheets/d/1-uDff_7J0KD5mKrp0Vvzr7lt3OU09vwQwhkpOPPYv2Y/edit?usp=sharing"",""งบพรบ!FR28"")"),0)</f>
        <v>0</v>
      </c>
      <c r="N519" s="230">
        <f ca="1">IFERROR(__xludf.DUMMYFUNCTION("IMPORTRANGE(""https://docs.google.com/spreadsheets/d/1-uDff_7J0KD5mKrp0Vvzr7lt3OU09vwQwhkpOPPYv2Y/edit?usp=sharing"",""งบพรบ!FT28"")"),0)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IFERROR(__xludf.DUMMYFUNCTION("IMPORTRANGE(""https://docs.google.com/spreadsheets/d/1-uDff_7J0KD5mKrp0Vvzr7lt3OU09vwQwhkpOPPYv2Y/edit?usp=sharing"",""งบพรบ!FP28"")"),0)</f>
        <v>0</v>
      </c>
      <c r="M522" s="230">
        <f ca="1">IFERROR(__xludf.DUMMYFUNCTION("IMPORTRANGE(""https://docs.google.com/spreadsheets/d/1-uDff_7J0KD5mKrp0Vvzr7lt3OU09vwQwhkpOPPYv2Y/edit?usp=sharing"",""งบพรบ!FS28"")"),0)</f>
        <v>0</v>
      </c>
      <c r="N522" s="230">
        <f ca="1">IFERROR(__xludf.DUMMYFUNCTION("IMPORTRANGE(""https://docs.google.com/spreadsheets/d/1-uDff_7J0KD5mKrp0Vvzr7lt3OU09vwQwhkpOPPYv2Y/edit?usp=sharing"",""งบพรบ!FU28"")"),0)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100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11725</v>
      </c>
      <c r="R617" s="515">
        <f t="shared" ca="1" si="383"/>
        <v>11725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11725</v>
      </c>
      <c r="R619" s="230">
        <f t="shared" ca="1" si="387"/>
        <v>11725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11725</v>
      </c>
      <c r="R620" s="230">
        <f t="shared" ca="1" si="389"/>
        <v>11725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2" s="230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2" s="230">
        <f ca="1">IFERROR(__xludf.DUMMYFUNCTION("IMPORTRANGE(""https://docs.google.com/spreadsheets/d/1ItG2mGa2ceCfYo0BwxsXqNm01IGEUdYcSSLTEv9YCik/edit?usp=sharing"",""เบิกจ่ายกองทุน!H28"")"),0)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IFERROR(__xludf.DUMMYFUNCTION("IMPORTRANGE(""https://docs.google.com/spreadsheets/d/1eHaY18a8A9IcSdp1K8H6x8fbOy06t2VsZHhMHf-1x7Y/edit?usp=sharing"",""แผน!ID28"")"),100)</f>
        <v>100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IFERROR(__xludf.DUMMYFUNCTION("IMPORTRANGE(""https://docs.google.com/spreadsheets/d/1eHaY18a8A9IcSdp1K8H6x8fbOy06t2VsZHhMHf-1x7Y/edit?usp=sharing"",""แผน!IC28"")"),0)</f>
        <v>0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IFERROR(__xludf.DUMMYFUNCTION("IMPORTRANGE(""https://docs.google.com/spreadsheets/d/1eHaY18a8A9IcSdp1K8H6x8fbOy06t2VsZHhMHf-1x7Y/edit?usp=sharing"",""แผน!IC28"")"),0)</f>
        <v>0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IFERROR(__xludf.DUMMYFUNCTION("IMPORTRANGE(""https://docs.google.com/spreadsheets/d/1eHaY18a8A9IcSdp1K8H6x8fbOy06t2VsZHhMHf-1x7Y/edit?usp=sharing"",""แผน!IE28"")"),0)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2180</v>
      </c>
      <c r="R643" s="515">
        <f t="shared" ca="1" si="397"/>
        <v>2180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2180</v>
      </c>
      <c r="R645" s="230">
        <f t="shared" ca="1" si="401"/>
        <v>2180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2180</v>
      </c>
      <c r="R646" s="230">
        <f t="shared" ca="1" si="403"/>
        <v>2180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IFERROR(__xludf.DUMMYFUNCTION("IMPORTRANGE(""https://docs.google.com/spreadsheets/d/1ItG2mGa2ceCfYo0BwxsXqNm01IGEUdYcSSLTEv9YCik/edit?usp=sharing"",""เบิกจ่ายกองทุน!I28"")"),2180)</f>
        <v>2180</v>
      </c>
      <c r="R648" s="230">
        <f ca="1">IFERROR(__xludf.DUMMYFUNCTION("IMPORTRANGE(""https://docs.google.com/spreadsheets/d/1ItG2mGa2ceCfYo0BwxsXqNm01IGEUdYcSSLTEv9YCik/edit?usp=sharing"",""เบิกจ่ายกองทุน!J28"")"),2180)</f>
        <v>2180</v>
      </c>
      <c r="S648" s="230">
        <f ca="1">IFERROR(__xludf.DUMMYFUNCTION("IMPORTRANGE(""https://docs.google.com/spreadsheets/d/1ItG2mGa2ceCfYo0BwxsXqNm01IGEUdYcSSLTEv9YCik/edit?usp=sharing"",""เบิกจ่ายกองทุน!K28"")"),0)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IFERROR(__xludf.DUMMYFUNCTION("IMPORTRANGE(""https://docs.google.com/spreadsheets/d/1eHaY18a8A9IcSdp1K8H6x8fbOy06t2VsZHhMHf-1x7Y/edit?usp=sharing"",""แผน!IF28"")"),0)</f>
        <v>0</v>
      </c>
      <c r="J653" s="189">
        <f ca="1">IFERROR(__xludf.DUMMYFUNCTION("IMPORTRANGE(""https://docs.google.com/spreadsheets/d/1tdoBKaGub7dwA3U6UFTqxio9LNnvDCQjHKmttSEBsFQ/edit?usp=sharing"",""จัดที่ดิน!AU28"")"),0)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IFERROR(__xludf.DUMMYFUNCTION("IMPORTRANGE(""https://docs.google.com/spreadsheets/d/1eHaY18a8A9IcSdp1K8H6x8fbOy06t2VsZHhMHf-1x7Y/edit?usp=sharing"",""แผน!IG28"")"),0)</f>
        <v>0</v>
      </c>
      <c r="J654" s="189">
        <f ca="1">IFERROR(__xludf.DUMMYFUNCTION("IMPORTRANGE(""https://docs.google.com/spreadsheets/d/1tdoBKaGub7dwA3U6UFTqxio9LNnvDCQjHKmttSEBsFQ/edit?usp=sharing"",""จัดที่ดิน!AW28"")"),0)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IFERROR(__xludf.DUMMYFUNCTION("IMPORTRANGE(""https://docs.google.com/spreadsheets/d/1eHaY18a8A9IcSdp1K8H6x8fbOy06t2VsZHhMHf-1x7Y/edit?usp=sharing"",""แผน!IH28"")"),29)</f>
        <v>29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IFERROR(__xludf.DUMMYFUNCTION("IMPORTRANGE(""https://docs.google.com/spreadsheets/d/1eHaY18a8A9IcSdp1K8H6x8fbOy06t2VsZHhMHf-1x7Y/edit?usp=sharing"",""แผน!II28"")"),29)</f>
        <v>29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IFERROR(__xludf.DUMMYFUNCTION("IMPORTRANGE(""https://docs.google.com/spreadsheets/d/1eHaY18a8A9IcSdp1K8H6x8fbOy06t2VsZHhMHf-1x7Y/edit?usp=sharing"",""แผน!IJ28"")"),0)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IFERROR(__xludf.DUMMYFUNCTION("IMPORTRANGE(""https://docs.google.com/spreadsheets/d/1eHaY18a8A9IcSdp1K8H6x8fbOy06t2VsZHhMHf-1x7Y/edit?usp=sharing"",""แผน!IK28"")"),0)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IFERROR(__xludf.DUMMYFUNCTION("IMPORTRANGE(""https://docs.google.com/spreadsheets/d/1tdoBKaGub7dwA3U6UFTqxio9LNnvDCQjHKmttSEBsFQ/edit?usp=sharing"",""จัดที่ดิน!AY28"")"),0)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IFERROR(__xludf.DUMMYFUNCTION("IMPORTRANGE(""https://docs.google.com/spreadsheets/d/1tdoBKaGub7dwA3U6UFTqxio9LNnvDCQjHKmttSEBsFQ/edit?usp=sharing"",""จัดที่ดิน!AZ28"")"),0)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IFERROR(__xludf.DUMMYFUNCTION("IMPORTRANGE(""https://docs.google.com/spreadsheets/d/1eHaY18a8A9IcSdp1K8H6x8fbOy06t2VsZHhMHf-1x7Y/edit?usp=sharing"",""แผน!IL28"")"),0)</f>
        <v>0</v>
      </c>
      <c r="J674" s="189">
        <f ca="1">IFERROR(__xludf.DUMMYFUNCTION("IMPORTRANGE(""https://docs.google.com/spreadsheets/d/1tdoBKaGub7dwA3U6UFTqxio9LNnvDCQjHKmttSEBsFQ/edit?usp=sharing"",""จัดที่ดิน!BA28"")"),0)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IFERROR(__xludf.DUMMYFUNCTION("IMPORTRANGE(""https://docs.google.com/spreadsheets/d/1eHaY18a8A9IcSdp1K8H6x8fbOy06t2VsZHhMHf-1x7Y/edit?usp=sharing"",""แผน!IM28"")"),5)</f>
        <v>5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IFERROR(__xludf.DUMMYFUNCTION("IMPORTRANGE(""https://docs.google.com/spreadsheets/d/1eHaY18a8A9IcSdp1K8H6x8fbOy06t2VsZHhMHf-1x7Y/edit?usp=sharing"",""แผน!IN28"")"),73)</f>
        <v>73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IFERROR(__xludf.DUMMYFUNCTION("IMPORTRANGE(""https://docs.google.com/spreadsheets/d/1eHaY18a8A9IcSdp1K8H6x8fbOy06t2VsZHhMHf-1x7Y/edit?usp=sharing"",""แผน!IO28"")"),5)</f>
        <v>5</v>
      </c>
      <c r="J677" s="189">
        <f ca="1">IFERROR(__xludf.DUMMYFUNCTION("IMPORTRANGE(""https://docs.google.com/spreadsheets/d/1tdoBKaGub7dwA3U6UFTqxio9LNnvDCQjHKmttSEBsFQ/edit?usp=sharing"",""จัดที่ดิน!BF28"")"),0)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IFERROR(__xludf.DUMMYFUNCTION("IMPORTRANGE(""https://docs.google.com/spreadsheets/d/1tdoBKaGub7dwA3U6UFTqxio9LNnvDCQjHKmttSEBsFQ/edit?usp=sharing"",""จัดที่ดิน!BG28"")"),0)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IFERROR(__xludf.DUMMYFUNCTION("IMPORTRANGE(""https://docs.google.com/spreadsheets/d/1eHaY18a8A9IcSdp1K8H6x8fbOy06t2VsZHhMHf-1x7Y/edit?usp=sharing"",""แผน!IP28"")"),73)</f>
        <v>73</v>
      </c>
      <c r="J679" s="189">
        <f ca="1">IFERROR(__xludf.DUMMYFUNCTION("IMPORTRANGE(""https://docs.google.com/spreadsheets/d/1tdoBKaGub7dwA3U6UFTqxio9LNnvDCQjHKmttSEBsFQ/edit?usp=sharing"",""จัดที่ดิน!BH28"")"),0)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IFERROR(__xludf.DUMMYFUNCTION("IMPORTRANGE(""https://docs.google.com/spreadsheets/d/1eHaY18a8A9IcSdp1K8H6x8fbOy06t2VsZHhMHf-1x7Y/edit?usp=sharing"",""แผน!IQ28"")"),0)</f>
        <v>0</v>
      </c>
      <c r="J680" s="189">
        <f ca="1">IFERROR(__xludf.DUMMYFUNCTION("IMPORTRANGE(""https://docs.google.com/spreadsheets/d/1tdoBKaGub7dwA3U6UFTqxio9LNnvDCQjHKmttSEBsFQ/edit?usp=sharing"",""จัดที่ดิน!BK28"")"),0)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IFERROR(__xludf.DUMMYFUNCTION("IMPORTRANGE(""https://docs.google.com/spreadsheets/d/1tdoBKaGub7dwA3U6UFTqxio9LNnvDCQjHKmttSEBsFQ/edit?usp=sharing"",""จัดที่ดิน!BL28"")"),0)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IFERROR(__xludf.DUMMYFUNCTION("IMPORTRANGE(""https://docs.google.com/spreadsheets/d/1eHaY18a8A9IcSdp1K8H6x8fbOy06t2VsZHhMHf-1x7Y/edit?usp=sharing"",""แผน!IR28"")"),0)</f>
        <v>0</v>
      </c>
      <c r="J682" s="189">
        <f ca="1">IFERROR(__xludf.DUMMYFUNCTION("IMPORTRANGE(""https://docs.google.com/spreadsheets/d/1tdoBKaGub7dwA3U6UFTqxio9LNnvDCQjHKmttSEBsFQ/edit?usp=sharing"",""จัดที่ดิน!BM28"")"),0)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IFERROR(__xludf.DUMMYFUNCTION("IMPORTRANGE(""https://docs.google.com/spreadsheets/d/1eHaY18a8A9IcSdp1K8H6x8fbOy06t2VsZHhMHf-1x7Y/edit?usp=sharing"",""แผน!IS28"")"),0)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160</v>
      </c>
      <c r="J690" s="700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268050</v>
      </c>
      <c r="R691" s="515">
        <f t="shared" ca="1" si="414"/>
        <v>268050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268050</v>
      </c>
      <c r="R693" s="230">
        <f t="shared" ca="1" si="418"/>
        <v>268050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268050</v>
      </c>
      <c r="R694" s="230">
        <f t="shared" ca="1" si="420"/>
        <v>268050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6" s="230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6" s="230">
        <f ca="1">IFERROR(__xludf.DUMMYFUNCTION("IMPORTRANGE(""https://docs.google.com/spreadsheets/d/1ItG2mGa2ceCfYo0BwxsXqNm01IGEUdYcSSLTEv9YCik/edit?usp=sharing"",""เบิกจ่ายกองทุน!N28"")"),0)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IFERROR(__xludf.DUMMYFUNCTION("IMPORTRANGE(""https://docs.google.com/spreadsheets/d/1eHaY18a8A9IcSdp1K8H6x8fbOy06t2VsZHhMHf-1x7Y/edit?usp=sharing"",""แผน!LC28"")"),0)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163</v>
      </c>
      <c r="J702" s="340">
        <f t="shared" ca="1" si="424"/>
        <v>48</v>
      </c>
      <c r="K702" s="515">
        <f t="shared" ca="1" si="423"/>
        <v>29.447852760736197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47.8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IFERROR(__xludf.DUMMYFUNCTION("IMPORTRANGE(""https://docs.google.com/spreadsheets/d/1eHaY18a8A9IcSdp1K8H6x8fbOy06t2VsZHhMHf-1x7Y/edit?usp=sharing"",""แผน!LJ28"")"),160)</f>
        <v>160</v>
      </c>
      <c r="J704" s="189">
        <f ca="1">IFERROR(__xludf.DUMMYFUNCTION("IMPORTRANGE(""https://docs.google.com/spreadsheets/d/1tdoBKaGub7dwA3U6UFTqxio9LNnvDCQjHKmttSEBsFQ/edit?usp=sharing"",""จัดที่ดิน!AP28"")"),48)</f>
        <v>48</v>
      </c>
      <c r="K704" s="230">
        <f t="shared" ca="1" si="423"/>
        <v>30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IFERROR(__xludf.DUMMYFUNCTION("IMPORTRANGE(""https://docs.google.com/spreadsheets/d/1tdoBKaGub7dwA3U6UFTqxio9LNnvDCQjHKmttSEBsFQ/edit?usp=sharing"",""จัดที่ดิน!AQ28"")"),47.8)</f>
        <v>47.8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IFERROR(__xludf.DUMMYFUNCTION("IMPORTRANGE(""https://docs.google.com/spreadsheets/d/1eHaY18a8A9IcSdp1K8H6x8fbOy06t2VsZHhMHf-1x7Y/edit?usp=sharing"",""แผน!LK28"")"),3)</f>
        <v>3</v>
      </c>
      <c r="J706" s="189">
        <f ca="1">IFERROR(__xludf.DUMMYFUNCTION("IMPORTRANGE(""https://docs.google.com/spreadsheets/d/1tdoBKaGub7dwA3U6UFTqxio9LNnvDCQjHKmttSEBsFQ/edit?usp=sharing"",""จัดที่ดิน!AR28"")"),0)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IFERROR(__xludf.DUMMYFUNCTION("IMPORTRANGE(""https://docs.google.com/spreadsheets/d/1tdoBKaGub7dwA3U6UFTqxio9LNnvDCQjHKmttSEBsFQ/edit?usp=sharing"",""จัดที่ดิน!AS28"")"),0)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IFERROR(__xludf.DUMMYFUNCTION("IMPORTRANGE(""https://docs.google.com/spreadsheets/d/1eHaY18a8A9IcSdp1K8H6x8fbOy06t2VsZHhMHf-1x7Y/edit?usp=sharing"",""แผน!LJ28"")"),160)</f>
        <v>160</v>
      </c>
      <c r="J708" s="189">
        <f ca="1">IFERROR(__xludf.DUMMYFUNCTION("IMPORTRANGE(""https://docs.google.com/spreadsheets/d/1tdoBKaGub7dwA3U6UFTqxio9LNnvDCQjHKmttSEBsFQ/edit?usp=sharing"",""จัดที่ดิน!BN28"")"),0)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IFERROR(__xludf.DUMMYFUNCTION("IMPORTRANGE(""https://docs.google.com/spreadsheets/d/1tdoBKaGub7dwA3U6UFTqxio9LNnvDCQjHKmttSEBsFQ/edit?usp=sharing"",""จัดที่ดิน!BO28"")"),0)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IFERROR(__xludf.DUMMYFUNCTION("IMPORTRANGE(""https://docs.google.com/spreadsheets/d/1eHaY18a8A9IcSdp1K8H6x8fbOy06t2VsZHhMHf-1x7Y/edit?usp=sharing"",""แผน!LK28"")"),3)</f>
        <v>3</v>
      </c>
      <c r="J710" s="189">
        <f ca="1">IFERROR(__xludf.DUMMYFUNCTION("IMPORTRANGE(""https://docs.google.com/spreadsheets/d/1tdoBKaGub7dwA3U6UFTqxio9LNnvDCQjHKmttSEBsFQ/edit?usp=sharing"",""จัดที่ดิน!BP28"")"),0)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IFERROR(__xludf.DUMMYFUNCTION("IMPORTRANGE(""https://docs.google.com/spreadsheets/d/1tdoBKaGub7dwA3U6UFTqxio9LNnvDCQjHKmttSEBsFQ/edit?usp=sharing"",""จัดที่ดิน!BQ28"")"),0)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IFERROR(__xludf.DUMMYFUNCTION("IMPORTRANGE(""https://docs.google.com/spreadsheets/d/1eHaY18a8A9IcSdp1K8H6x8fbOy06t2VsZHhMHf-1x7Y/edit?usp=sharing"",""แผน!GA28"")"),31)</f>
        <v>31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IFERROR(__xludf.DUMMYFUNCTION("IMPORTRANGE(""https://docs.google.com/spreadsheets/d/1eHaY18a8A9IcSdp1K8H6x8fbOy06t2VsZHhMHf-1x7Y/edit?usp=sharing"",""แผน!FZ28"")"),300)</f>
        <v>300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242546</v>
      </c>
      <c r="R729" s="515">
        <f t="shared" ca="1" si="441"/>
        <v>242546</v>
      </c>
      <c r="S729" s="515">
        <f t="shared" ca="1" si="441"/>
        <v>0</v>
      </c>
      <c r="T729" s="515">
        <f t="shared" ref="T729:T737" ca="1" si="442">IF(Q729&gt;0,S729*100/Q729,0)</f>
        <v>0</v>
      </c>
      <c r="U729" s="515">
        <f t="shared" ref="U729:U737" ca="1" si="443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242546</v>
      </c>
      <c r="R731" s="230">
        <f t="shared" ca="1" si="445"/>
        <v>242546</v>
      </c>
      <c r="S731" s="230">
        <f t="shared" ca="1" si="445"/>
        <v>0</v>
      </c>
      <c r="T731" s="230">
        <f t="shared" ca="1" si="442"/>
        <v>0</v>
      </c>
      <c r="U731" s="230">
        <f t="shared" ca="1" si="443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242546</v>
      </c>
      <c r="R732" s="230">
        <f t="shared" ca="1" si="447"/>
        <v>242546</v>
      </c>
      <c r="S732" s="230">
        <f t="shared" ca="1" si="447"/>
        <v>0</v>
      </c>
      <c r="T732" s="230">
        <f t="shared" ca="1" si="442"/>
        <v>0</v>
      </c>
      <c r="U732" s="230">
        <f t="shared" ca="1" si="443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4" s="230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4" s="230">
        <f ca="1">IFERROR(__xludf.DUMMYFUNCTION("IMPORTRANGE(""https://docs.google.com/spreadsheets/d/1ItG2mGa2ceCfYo0BwxsXqNm01IGEUdYcSSLTEv9YCik/edit?usp=sharing"",""เบิกจ่ายกองทุน!Q28"")"),0)</f>
        <v>0</v>
      </c>
      <c r="T734" s="230">
        <f t="shared" ca="1" si="442"/>
        <v>0</v>
      </c>
      <c r="U734" s="230">
        <f t="shared" ca="1" si="443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IFERROR(__xludf.DUMMYFUNCTION("IMPORTRANGE(""https://docs.google.com/spreadsheets/d/1eHaY18a8A9IcSdp1K8H6x8fbOy06t2VsZHhMHf-1x7Y/edit?usp=sharing"",""แผน!GB28"")"),240)</f>
        <v>240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IFERROR(__xludf.DUMMYFUNCTION("IMPORTRANGE(""https://docs.google.com/spreadsheets/d/1eHaY18a8A9IcSdp1K8H6x8fbOy06t2VsZHhMHf-1x7Y/edit?usp=sharing"",""แผน!GC28"")"),24)</f>
        <v>24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IFERROR(__xludf.DUMMYFUNCTION("IMPORTRANGE(""https://docs.google.com/spreadsheets/d/1eHaY18a8A9IcSdp1K8H6x8fbOy06t2VsZHhMHf-1x7Y/edit?usp=sharing"",""แผน!GD28"")"),60)</f>
        <v>60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IFERROR(__xludf.DUMMYFUNCTION("IMPORTRANGE(""https://docs.google.com/spreadsheets/d/1eHaY18a8A9IcSdp1K8H6x8fbOy06t2VsZHhMHf-1x7Y/edit?usp=sharing"",""แผน!GE28"")"),6)</f>
        <v>6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IFERROR(__xludf.DUMMYFUNCTION("IMPORTRANGE(""https://docs.google.com/spreadsheets/d/1eHaY18a8A9IcSdp1K8H6x8fbOy06t2VsZHhMHf-1x7Y/edit?usp=sharing"",""แผน!GF28"")"),1)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IFERROR(__xludf.DUMMYFUNCTION("IMPORTRANGE(""https://docs.google.com/spreadsheets/d/1eHaY18a8A9IcSdp1K8H6x8fbOy06t2VsZHhMHf-1x7Y/edit?usp=sharing"",""แผน!GC28"")"),24)</f>
        <v>24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IFERROR(__xludf.DUMMYFUNCTION("IMPORTRANGE(""https://docs.google.com/spreadsheets/d/1eHaY18a8A9IcSdp1K8H6x8fbOy06t2VsZHhMHf-1x7Y/edit?usp=sharing"",""แผน!GE28"")"),6)</f>
        <v>6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146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509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1018160</v>
      </c>
      <c r="R760" s="515">
        <f t="shared" ca="1" si="456"/>
        <v>1018160</v>
      </c>
      <c r="S760" s="515">
        <f t="shared" ca="1" si="456"/>
        <v>0</v>
      </c>
      <c r="T760" s="515">
        <f t="shared" ref="T760:T768" ca="1" si="457">IF(Q760&gt;0,S760*100/Q760,0)</f>
        <v>0</v>
      </c>
      <c r="U760" s="515">
        <f t="shared" ref="U760:U768" ca="1" si="458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1018160</v>
      </c>
      <c r="R762" s="230">
        <f t="shared" ca="1" si="460"/>
        <v>1018160</v>
      </c>
      <c r="S762" s="230">
        <f t="shared" ca="1" si="460"/>
        <v>0</v>
      </c>
      <c r="T762" s="230">
        <f t="shared" ca="1" si="457"/>
        <v>0</v>
      </c>
      <c r="U762" s="230">
        <f t="shared" ca="1" si="458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1018160</v>
      </c>
      <c r="R763" s="230">
        <f t="shared" ca="1" si="462"/>
        <v>1018160</v>
      </c>
      <c r="S763" s="230">
        <f t="shared" ca="1" si="462"/>
        <v>0</v>
      </c>
      <c r="T763" s="230">
        <f t="shared" ca="1" si="457"/>
        <v>0</v>
      </c>
      <c r="U763" s="230">
        <f t="shared" ca="1" si="458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IFERROR(__xludf.DUMMYFUNCTION("IMPORTRANGE(""https://docs.google.com/spreadsheets/d/1ItG2mGa2ceCfYo0BwxsXqNm01IGEUdYcSSLTEv9YCik/edit?usp=sharing"",""เบิกจ่ายกองทุน!U28"")"),1018160)</f>
        <v>1018160</v>
      </c>
      <c r="R765" s="230">
        <f ca="1">IFERROR(__xludf.DUMMYFUNCTION("IMPORTRANGE(""https://docs.google.com/spreadsheets/d/1ItG2mGa2ceCfYo0BwxsXqNm01IGEUdYcSSLTEv9YCik/edit?usp=sharing"",""เบิกจ่ายกองทุน!V28"")"),1018160)</f>
        <v>1018160</v>
      </c>
      <c r="S765" s="230">
        <f ca="1">IFERROR(__xludf.DUMMYFUNCTION("IMPORTRANGE(""https://docs.google.com/spreadsheets/d/1ItG2mGa2ceCfYo0BwxsXqNm01IGEUdYcSSLTEv9YCik/edit?usp=sharing"",""เบิกจ่ายกองทุน!W28"")"),0)</f>
        <v>0</v>
      </c>
      <c r="T765" s="230">
        <f t="shared" ca="1" si="457"/>
        <v>0</v>
      </c>
      <c r="U765" s="230">
        <f t="shared" ca="1" si="458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IFERROR(__xludf.DUMMYFUNCTION("IMPORTRANGE(""https://docs.google.com/spreadsheets/d/1eHaY18a8A9IcSdp1K8H6x8fbOy06t2VsZHhMHf-1x7Y/edit?usp=sharing"",""แผน!FI28"")"),0)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IFERROR(__xludf.DUMMYFUNCTION("IMPORTRANGE(""https://docs.google.com/spreadsheets/d/1eHaY18a8A9IcSdp1K8H6x8fbOy06t2VsZHhMHf-1x7Y/edit?usp=sharing"",""แผน!FQ28"")"),146)</f>
        <v>146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IFERROR(__xludf.DUMMYFUNCTION("IMPORTRANGE(""https://docs.google.com/spreadsheets/d/1eHaY18a8A9IcSdp1K8H6x8fbOy06t2VsZHhMHf-1x7Y/edit?usp=sharing"",""แผน!FR28"")"),509)</f>
        <v>509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IFERROR(__xludf.DUMMYFUNCTION("IMPORTRANGE(""https://docs.google.com/spreadsheets/d/1eHaY18a8A9IcSdp1K8H6x8fbOy06t2VsZHhMHf-1x7Y/edit?usp=sharing"",""แผน!FS28"")"),509)</f>
        <v>509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IFERROR(__xludf.DUMMYFUNCTION("IMPORTRANGE(""https://docs.google.com/spreadsheets/d/1eHaY18a8A9IcSdp1K8H6x8fbOy06t2VsZHhMHf-1x7Y/edit?usp=sharing"",""แผน!FT28"")"),146)</f>
        <v>146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IFERROR(__xludf.DUMMYFUNCTION("IMPORTRANGE(""https://docs.google.com/spreadsheets/d/10OvvATaaLtwErnr3qtWFcTmtbfpFEt5Bsqel9sXx0uE/edit?usp=sharing"",""งานกองทุน!D28"")"),4138803.42)</f>
        <v>4138803.42</v>
      </c>
      <c r="J778" s="189">
        <f ca="1">IFERROR(__xludf.DUMMYFUNCTION("IMPORTRANGE(""https://docs.google.com/spreadsheets/d/10OvvATaaLtwErnr3qtWFcTmtbfpFEt5Bsqel9sXx0uE/edit?usp=sharing"",""งานกองทุน!F28"")"),920089.43)</f>
        <v>920089.43</v>
      </c>
      <c r="K778" s="230">
        <f t="shared" ref="K778:K785" ca="1" si="465">IF(I778&gt;0,J778*100/I778,0)</f>
        <v>22.230807714950618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IFERROR(__xludf.DUMMYFUNCTION("IMPORTRANGE(""https://docs.google.com/spreadsheets/d/10OvvATaaLtwErnr3qtWFcTmtbfpFEt5Bsqel9sXx0uE/edit?usp=sharing"",""งานกองทุน!C28"")"),97)</f>
        <v>97</v>
      </c>
      <c r="J779" s="189">
        <f ca="1">IFERROR(__xludf.DUMMYFUNCTION("IMPORTRANGE(""https://docs.google.com/spreadsheets/d/10OvvATaaLtwErnr3qtWFcTmtbfpFEt5Bsqel9sXx0uE/edit?usp=sharing"",""งานกองทุน!E28"")"),103)</f>
        <v>103</v>
      </c>
      <c r="K779" s="230">
        <f t="shared" ca="1" si="465"/>
        <v>106.18556701030928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IFERROR(__xludf.DUMMYFUNCTION("IMPORTRANGE(""https://docs.google.com/spreadsheets/d/10OvvATaaLtwErnr3qtWFcTmtbfpFEt5Bsqel9sXx0uE/edit?usp=sharing"",""งานกองทุน!I28"")"),11958285.44)</f>
        <v>11958285.439999999</v>
      </c>
      <c r="J780" s="189">
        <f ca="1">IFERROR(__xludf.DUMMYFUNCTION("IMPORTRANGE(""https://docs.google.com/spreadsheets/d/10OvvATaaLtwErnr3qtWFcTmtbfpFEt5Bsqel9sXx0uE/edit?usp=sharing"",""งานกองทุน!K28"")"),230343.34)</f>
        <v>230343.34</v>
      </c>
      <c r="K780" s="230">
        <f t="shared" ca="1" si="465"/>
        <v>1.926223798183563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IFERROR(__xludf.DUMMYFUNCTION("IMPORTRANGE(""https://docs.google.com/spreadsheets/d/10OvvATaaLtwErnr3qtWFcTmtbfpFEt5Bsqel9sXx0uE/edit?usp=sharing"",""งานกองทุน!H28"")"),534)</f>
        <v>534</v>
      </c>
      <c r="J781" s="189">
        <f ca="1">IFERROR(__xludf.DUMMYFUNCTION("IMPORTRANGE(""https://docs.google.com/spreadsheets/d/10OvvATaaLtwErnr3qtWFcTmtbfpFEt5Bsqel9sXx0uE/edit?usp=sharing"",""งานกองทุน!J28"")"),88)</f>
        <v>88</v>
      </c>
      <c r="K781" s="230">
        <f t="shared" ca="1" si="465"/>
        <v>16.479400749063672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9">
        <f ca="1">IFERROR(__xludf.DUMMYFUNCTION("IMPORTRANGE(""https://docs.google.com/spreadsheets/d/10OvvATaaLtwErnr3qtWFcTmtbfpFEt5Bsqel9sXx0uE/edit?usp=sharing"",""งานกองทุน!P28"")"),492398.94)</f>
        <v>492398.94</v>
      </c>
      <c r="K782" s="230">
        <f t="shared" ca="1" si="465"/>
        <v>24.620357175150538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IFERROR(__xludf.DUMMYFUNCTION("IMPORTRANGE(""https://docs.google.com/spreadsheets/d/10OvvATaaLtwErnr3qtWFcTmtbfpFEt5Bsqel9sXx0uE/edit?usp=sharing"",""งานกองทุน!M28"")"),170)</f>
        <v>170</v>
      </c>
      <c r="J783" s="189">
        <f ca="1">IFERROR(__xludf.DUMMYFUNCTION("IMPORTRANGE(""https://docs.google.com/spreadsheets/d/10OvvATaaLtwErnr3qtWFcTmtbfpFEt5Bsqel9sXx0uE/edit?usp=sharing"",""งานกองทุน!O28"")"),33)</f>
        <v>33</v>
      </c>
      <c r="K783" s="230">
        <f t="shared" ca="1" si="465"/>
        <v>19.411764705882351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IFERROR(__xludf.DUMMYFUNCTION("IMPORTRANGE(""https://docs.google.com/spreadsheets/d/10OvvATaaLtwErnr3qtWFcTmtbfpFEt5Bsqel9sXx0uE/edit?usp=sharing"",""งานกองทุน!S28"")"),6440000)</f>
        <v>6440000</v>
      </c>
      <c r="J784" s="189">
        <f ca="1">IFERROR(__xludf.DUMMYFUNCTION("IMPORTRANGE(""https://docs.google.com/spreadsheets/d/10OvvATaaLtwErnr3qtWFcTmtbfpFEt5Bsqel9sXx0uE/edit?usp=sharing"",""งานกองทุน!U28"")"),0)</f>
        <v>0</v>
      </c>
      <c r="K784" s="230">
        <f t="shared" ca="1" si="465"/>
        <v>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IFERROR(__xludf.DUMMYFUNCTION("IMPORTRANGE(""https://docs.google.com/spreadsheets/d/10OvvATaaLtwErnr3qtWFcTmtbfpFEt5Bsqel9sXx0uE/edit?usp=sharing"",""งานกองทุน!R28"")"),230)</f>
        <v>230</v>
      </c>
      <c r="J785" s="194">
        <f ca="1">IFERROR(__xludf.DUMMYFUNCTION("IMPORTRANGE(""https://docs.google.com/spreadsheets/d/10OvvATaaLtwErnr3qtWFcTmtbfpFEt5Bsqel9sXx0uE/edit?usp=sharing"",""งานกองทุน!T28"")"),0)</f>
        <v>0</v>
      </c>
      <c r="K785" s="461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0720-FC58-4D0C-B0B2-7BB3A6235C03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331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1968920</v>
      </c>
      <c r="M19" s="474">
        <f t="shared" ca="1" si="0"/>
        <v>2016800</v>
      </c>
      <c r="N19" s="474">
        <f t="shared" ca="1" si="0"/>
        <v>1192129.1600000001</v>
      </c>
      <c r="O19" s="474">
        <f t="shared" ref="O19:O27" ca="1" si="1">IF(L19&gt;0,N19*100/L19,0)</f>
        <v>60.547364037137122</v>
      </c>
      <c r="P19" s="474">
        <f t="shared" ref="P19:P27" ca="1" si="2">IF(M19&gt;0,N19*100/M19,0)</f>
        <v>59.10993454978184</v>
      </c>
      <c r="Q19" s="474">
        <f t="shared" ref="Q19:S19" ca="1" si="3">Q20+Q21</f>
        <v>2314504.2400000002</v>
      </c>
      <c r="R19" s="474">
        <f t="shared" ca="1" si="3"/>
        <v>2002004</v>
      </c>
      <c r="S19" s="474">
        <f t="shared" ca="1" si="3"/>
        <v>5551.5</v>
      </c>
      <c r="T19" s="474">
        <f t="shared" ref="T19:T27" ca="1" si="4">IF(Q19&gt;0,S19*100/Q19,0)</f>
        <v>0.23985698120820895</v>
      </c>
      <c r="U19" s="474">
        <f t="shared" ref="U19:U27" ca="1" si="5">IF(R19&gt;0,S19*100/R19,0)</f>
        <v>0.27729714825744606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1968920</v>
      </c>
      <c r="M21" s="480">
        <f t="shared" ca="1" si="6"/>
        <v>2016800</v>
      </c>
      <c r="N21" s="480">
        <f t="shared" ca="1" si="6"/>
        <v>1192129.1600000001</v>
      </c>
      <c r="O21" s="480">
        <f t="shared" ca="1" si="1"/>
        <v>60.547364037137122</v>
      </c>
      <c r="P21" s="480">
        <f t="shared" ca="1" si="2"/>
        <v>59.10993454978184</v>
      </c>
      <c r="Q21" s="480">
        <f t="shared" ca="1" si="7"/>
        <v>2314504.2400000002</v>
      </c>
      <c r="R21" s="480">
        <f t="shared" ca="1" si="7"/>
        <v>2002004</v>
      </c>
      <c r="S21" s="480">
        <f t="shared" ca="1" si="7"/>
        <v>5551.5</v>
      </c>
      <c r="T21" s="480">
        <f t="shared" ca="1" si="4"/>
        <v>0.23985698120820895</v>
      </c>
      <c r="U21" s="480">
        <f t="shared" ca="1" si="5"/>
        <v>0.27729714825744606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1968920</v>
      </c>
      <c r="M22" s="230">
        <f t="shared" ca="1" si="8"/>
        <v>2016800</v>
      </c>
      <c r="N22" s="230">
        <f t="shared" ca="1" si="8"/>
        <v>1192129.1600000001</v>
      </c>
      <c r="O22" s="230">
        <f t="shared" ca="1" si="1"/>
        <v>60.547364037137122</v>
      </c>
      <c r="P22" s="230">
        <f t="shared" ca="1" si="2"/>
        <v>59.10993454978184</v>
      </c>
      <c r="Q22" s="230">
        <f t="shared" ref="Q22:S22" ca="1" si="9">Q23+Q24</f>
        <v>2314504.2400000002</v>
      </c>
      <c r="R22" s="230">
        <f t="shared" ca="1" si="9"/>
        <v>2002004</v>
      </c>
      <c r="S22" s="230">
        <f t="shared" ca="1" si="9"/>
        <v>5551.5</v>
      </c>
      <c r="T22" s="230">
        <f t="shared" ca="1" si="4"/>
        <v>0.23985698120820895</v>
      </c>
      <c r="U22" s="230">
        <f t="shared" ca="1" si="5"/>
        <v>0.27729714825744606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1968920</v>
      </c>
      <c r="M24" s="230">
        <f t="shared" ca="1" si="10"/>
        <v>2016800</v>
      </c>
      <c r="N24" s="230">
        <f t="shared" ca="1" si="10"/>
        <v>1192129.1600000001</v>
      </c>
      <c r="O24" s="230">
        <f t="shared" ca="1" si="1"/>
        <v>60.547364037137122</v>
      </c>
      <c r="P24" s="230">
        <f t="shared" ca="1" si="2"/>
        <v>59.10993454978184</v>
      </c>
      <c r="Q24" s="230">
        <f t="shared" ca="1" si="11"/>
        <v>2314504.2400000002</v>
      </c>
      <c r="R24" s="230">
        <f t="shared" ca="1" si="11"/>
        <v>2002004</v>
      </c>
      <c r="S24" s="230">
        <f t="shared" ca="1" si="11"/>
        <v>5551.5</v>
      </c>
      <c r="T24" s="230">
        <f t="shared" ca="1" si="4"/>
        <v>0.23985698120820895</v>
      </c>
      <c r="U24" s="230">
        <f t="shared" ca="1" si="5"/>
        <v>0.27729714825744606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1968920</v>
      </c>
      <c r="M41" s="487">
        <f t="shared" ca="1" si="16"/>
        <v>2016800</v>
      </c>
      <c r="N41" s="487">
        <f t="shared" ca="1" si="16"/>
        <v>1192129.1600000001</v>
      </c>
      <c r="O41" s="487">
        <f ca="1">IF(L41&gt;0,N41*100/L41,0)</f>
        <v>60.547364037137122</v>
      </c>
      <c r="P41" s="487">
        <f ca="1">IF(M41&gt;0,N41*100/M41,0)</f>
        <v>59.10993454978184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332950</v>
      </c>
      <c r="M45" s="491">
        <f t="shared" ca="1" si="17"/>
        <v>340400</v>
      </c>
      <c r="N45" s="491">
        <f t="shared" ca="1" si="17"/>
        <v>264159</v>
      </c>
      <c r="O45" s="491">
        <f t="shared" ref="O45:O53" ca="1" si="18">IF(L45&gt;0,N45*100/L45,0)</f>
        <v>79.338939780747864</v>
      </c>
      <c r="P45" s="491">
        <f t="shared" ref="P45:P53" ca="1" si="19">IF(M45&gt;0,N45*100/M45,0)</f>
        <v>77.602526439482958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332950</v>
      </c>
      <c r="M47" s="497">
        <f t="shared" ca="1" si="23"/>
        <v>340400</v>
      </c>
      <c r="N47" s="497">
        <f t="shared" ca="1" si="23"/>
        <v>264159</v>
      </c>
      <c r="O47" s="497">
        <f t="shared" ca="1" si="18"/>
        <v>79.338939780747864</v>
      </c>
      <c r="P47" s="497">
        <f t="shared" ca="1" si="19"/>
        <v>77.602526439482958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332950</v>
      </c>
      <c r="M48" s="230">
        <f t="shared" ca="1" si="25"/>
        <v>340400</v>
      </c>
      <c r="N48" s="230">
        <f t="shared" ca="1" si="25"/>
        <v>264159</v>
      </c>
      <c r="O48" s="230">
        <f t="shared" ca="1" si="18"/>
        <v>79.338939780747864</v>
      </c>
      <c r="P48" s="230">
        <f t="shared" ca="1" si="19"/>
        <v>77.602526439482958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IFERROR(__xludf.DUMMYFUNCTION("IMPORTRANGE(""https://docs.google.com/spreadsheets/d/1-uDff_7J0KD5mKrp0Vvzr7lt3OU09vwQwhkpOPPYv2Y/edit?usp=sharing"",""งบพรบ!P29"")"),332950)</f>
        <v>332950</v>
      </c>
      <c r="M50" s="230">
        <f ca="1">IFERROR(__xludf.DUMMYFUNCTION("IMPORTRANGE(""https://docs.google.com/spreadsheets/d/1-uDff_7J0KD5mKrp0Vvzr7lt3OU09vwQwhkpOPPYv2Y/edit?usp=sharing"",""งบพรบ!V29"")"),340400)</f>
        <v>340400</v>
      </c>
      <c r="N50" s="230">
        <f ca="1">IFERROR(__xludf.DUMMYFUNCTION("IMPORTRANGE(""https://docs.google.com/spreadsheets/d/1-uDff_7J0KD5mKrp0Vvzr7lt3OU09vwQwhkpOPPYv2Y/edit?usp=sharing"",""งบพรบ!Y29"")"),264159)</f>
        <v>264159</v>
      </c>
      <c r="O50" s="230">
        <f t="shared" ca="1" si="18"/>
        <v>79.338939780747864</v>
      </c>
      <c r="P50" s="230">
        <f t="shared" ca="1" si="19"/>
        <v>77.602526439482958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IFERROR(__xludf.DUMMYFUNCTION("IMPORTRANGE(""https://docs.google.com/spreadsheets/d/1-uDff_7J0KD5mKrp0Vvzr7lt3OU09vwQwhkpOPPYv2Y/edit?usp=sharing"",""งบพรบ!S29"")"),0)</f>
        <v>0</v>
      </c>
      <c r="M53" s="230">
        <f ca="1">IFERROR(__xludf.DUMMYFUNCTION("IMPORTRANGE(""https://docs.google.com/spreadsheets/d/1-uDff_7J0KD5mKrp0Vvzr7lt3OU09vwQwhkpOPPYv2Y/edit?usp=sharing"",""งบพรบ!W29"")"),0)</f>
        <v>0</v>
      </c>
      <c r="N53" s="230">
        <f ca="1">IFERROR(__xludf.DUMMYFUNCTION("IMPORTRANGE(""https://docs.google.com/spreadsheets/d/1-uDff_7J0KD5mKrp0Vvzr7lt3OU09vwQwhkpOPPYv2Y/edit?usp=sharing"",""งบพรบ!Z29"")"),0)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499600</v>
      </c>
      <c r="M60" s="502">
        <f t="shared" ca="1" si="29"/>
        <v>501100</v>
      </c>
      <c r="N60" s="502">
        <f t="shared" ca="1" si="29"/>
        <v>326557.48</v>
      </c>
      <c r="O60" s="502">
        <f t="shared" ref="O60:O68" ca="1" si="30">IF(L60&gt;0,N60*100/L60,0)</f>
        <v>65.363787029623694</v>
      </c>
      <c r="P60" s="502">
        <f t="shared" ref="P60:P68" ca="1" si="31">IF(M60&gt;0,N60*100/M60,0)</f>
        <v>65.168126122530438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499600</v>
      </c>
      <c r="M62" s="508">
        <f t="shared" ca="1" si="35"/>
        <v>501100</v>
      </c>
      <c r="N62" s="508">
        <f t="shared" ca="1" si="35"/>
        <v>326557.48</v>
      </c>
      <c r="O62" s="508">
        <f t="shared" ca="1" si="30"/>
        <v>65.363787029623694</v>
      </c>
      <c r="P62" s="508">
        <f t="shared" ca="1" si="31"/>
        <v>65.168126122530438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499600</v>
      </c>
      <c r="M63" s="230">
        <f t="shared" ca="1" si="37"/>
        <v>501100</v>
      </c>
      <c r="N63" s="230">
        <f t="shared" ca="1" si="37"/>
        <v>326557.48</v>
      </c>
      <c r="O63" s="230">
        <f t="shared" ca="1" si="30"/>
        <v>65.363787029623694</v>
      </c>
      <c r="P63" s="230">
        <f t="shared" ca="1" si="31"/>
        <v>65.168126122530438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IFERROR(__xludf.DUMMYFUNCTION("IMPORTRANGE(""https://docs.google.com/spreadsheets/d/1-uDff_7J0KD5mKrp0Vvzr7lt3OU09vwQwhkpOPPYv2Y/edit?usp=sharing"",""งบพรบ!AC29"")"),499600)</f>
        <v>499600</v>
      </c>
      <c r="M65" s="230">
        <f ca="1">IFERROR(__xludf.DUMMYFUNCTION("IMPORTRANGE(""https://docs.google.com/spreadsheets/d/1-uDff_7J0KD5mKrp0Vvzr7lt3OU09vwQwhkpOPPYv2Y/edit?usp=sharing"",""งบพรบ!AH29"")"),501100)</f>
        <v>501100</v>
      </c>
      <c r="N65" s="230">
        <f ca="1">IFERROR(__xludf.DUMMYFUNCTION("IMPORTRANGE(""https://docs.google.com/spreadsheets/d/1-uDff_7J0KD5mKrp0Vvzr7lt3OU09vwQwhkpOPPYv2Y/edit?usp=sharing"",""งบพรบ!AJ29"")"),326557.48)</f>
        <v>326557.48</v>
      </c>
      <c r="O65" s="230">
        <f t="shared" ca="1" si="30"/>
        <v>65.363787029623694</v>
      </c>
      <c r="P65" s="230">
        <f t="shared" ca="1" si="31"/>
        <v>65.168126122530438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IFERROR(__xludf.DUMMYFUNCTION("IMPORTRANGE(""https://docs.google.com/spreadsheets/d/1-uDff_7J0KD5mKrp0Vvzr7lt3OU09vwQwhkpOPPYv2Y/edit?usp=sharing"",""งบพรบ!AF29"")"),0)</f>
        <v>0</v>
      </c>
      <c r="M68" s="461">
        <f ca="1">IFERROR(__xludf.DUMMYFUNCTION("IMPORTRANGE(""https://docs.google.com/spreadsheets/d/1-uDff_7J0KD5mKrp0Vvzr7lt3OU09vwQwhkpOPPYv2Y/edit?usp=sharing"",""งบพรบ!AI29"")"),0)</f>
        <v>0</v>
      </c>
      <c r="N68" s="461">
        <f ca="1">IFERROR(__xludf.DUMMYFUNCTION("IMPORTRANGE(""https://docs.google.com/spreadsheets/d/1-uDff_7J0KD5mKrp0Vvzr7lt3OU09vwQwhkpOPPYv2Y/edit?usp=sharing"",""งบพรบ!AK29"")"),0)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hidden="1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hidden="1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hidden="1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hidden="1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hidden="1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IFERROR(__xludf.DUMMYFUNCTION("IMPORTRANGE(""https://docs.google.com/spreadsheets/d/1-uDff_7J0KD5mKrp0Vvzr7lt3OU09vwQwhkpOPPYv2Y/edit?usp=sharing"",""งบพรบ!AM29"")"),0)</f>
        <v>0</v>
      </c>
      <c r="M78" s="230">
        <f ca="1">IFERROR(__xludf.DUMMYFUNCTION("IMPORTRANGE(""https://docs.google.com/spreadsheets/d/1-uDff_7J0KD5mKrp0Vvzr7lt3OU09vwQwhkpOPPYv2Y/edit?usp=sharing"",""งบพรบ!AR29"")"),0)</f>
        <v>0</v>
      </c>
      <c r="N78" s="230">
        <f ca="1">IFERROR(__xludf.DUMMYFUNCTION("IMPORTRANGE(""https://docs.google.com/spreadsheets/d/1-uDff_7J0KD5mKrp0Vvzr7lt3OU09vwQwhkpOPPYv2Y/edit?usp=sharing"",""งบพรบ!AT29"")"),0)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IFERROR(__xludf.DUMMYFUNCTION("IMPORTRANGE(""https://docs.google.com/spreadsheets/d/1ItG2mGa2ceCfYo0BwxsXqNm01IGEUdYcSSLTEv9YCik/edit?usp=sharing"",""เบิกจ่ายกองทุน!AS29"")"),0)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IFERROR(__xludf.DUMMYFUNCTION("IMPORTRANGE(""https://docs.google.com/spreadsheets/d/1ItG2mGa2ceCfYo0BwxsXqNm01IGEUdYcSSLTEv9YCik/edit?usp=sharing"",""เบิกจ่ายกองทุน!AT29"")"),0)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IFERROR(__xludf.DUMMYFUNCTION("IMPORTRANGE(""https://docs.google.com/spreadsheets/d/1ItG2mGa2ceCfYo0BwxsXqNm01IGEUdYcSSLTEv9YCik/edit?usp=sharing"",""เบิกจ่ายกองทุน!AU29"")"),0)</f>
        <v>0</v>
      </c>
      <c r="T78" s="230">
        <f t="shared" ca="1" si="47"/>
        <v>0</v>
      </c>
      <c r="U78" s="230">
        <f t="shared" ca="1" si="48"/>
        <v>0</v>
      </c>
    </row>
    <row r="79" spans="1:21" ht="18.75" hidden="1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IFERROR(__xludf.DUMMYFUNCTION("IMPORTRANGE(""https://docs.google.com/spreadsheets/d/1-uDff_7J0KD5mKrp0Vvzr7lt3OU09vwQwhkpOPPYv2Y/edit?usp=sharing"",""งบพรบ!AP29"")"),0)</f>
        <v>0</v>
      </c>
      <c r="M81" s="230">
        <f ca="1">IFERROR(__xludf.DUMMYFUNCTION("IMPORTRANGE(""https://docs.google.com/spreadsheets/d/1-uDff_7J0KD5mKrp0Vvzr7lt3OU09vwQwhkpOPPYv2Y/edit?usp=sharing"",""งบพรบ!AS29"")"),0)</f>
        <v>0</v>
      </c>
      <c r="N81" s="230">
        <f ca="1">IFERROR(__xludf.DUMMYFUNCTION("IMPORTRANGE(""https://docs.google.com/spreadsheets/d/1-uDff_7J0KD5mKrp0Vvzr7lt3OU09vwQwhkpOPPYv2Y/edit?usp=sharing"",""งบพรบ!AU29"")"),0)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hidden="1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hidden="1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hidden="1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hidden="1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IFERROR(__xludf.DUMMYFUNCTION("IMPORTRANGE(""https://docs.google.com/spreadsheets/d/1eHaY18a8A9IcSdp1K8H6x8fbOy06t2VsZHhMHf-1x7Y/edit?usp=sharing"",""แผน!H29"")"),0)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hidden="1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IFERROR(__xludf.DUMMYFUNCTION("IMPORTRANGE(""https://docs.google.com/spreadsheets/d/1eHaY18a8A9IcSdp1K8H6x8fbOy06t2VsZHhMHf-1x7Y/edit?usp=sharing"",""แผน!I29"")"),0)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hidden="1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IFERROR(__xludf.DUMMYFUNCTION("IMPORTRANGE(""https://docs.google.com/spreadsheets/d/1eHaY18a8A9IcSdp1K8H6x8fbOy06t2VsZHhMHf-1x7Y/edit?usp=sharing"",""แผน!F29"")"),0)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hidden="1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IFERROR(__xludf.DUMMYFUNCTION("IMPORTRANGE(""https://docs.google.com/spreadsheets/d/1eHaY18a8A9IcSdp1K8H6x8fbOy06t2VsZHhMHf-1x7Y/edit?usp=sharing"",""แผน!G29"")"),0)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hidden="1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IFERROR(__xludf.DUMMYFUNCTION("IMPORTRANGE(""https://docs.google.com/spreadsheets/d/1eHaY18a8A9IcSdp1K8H6x8fbOy06t2VsZHhMHf-1x7Y/edit?usp=sharing"",""แผน!D29"")"),0)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hidden="1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IFERROR(__xludf.DUMMYFUNCTION("IMPORTRANGE(""https://docs.google.com/spreadsheets/d/1eHaY18a8A9IcSdp1K8H6x8fbOy06t2VsZHhMHf-1x7Y/edit?usp=sharing"",""แผน!E29"")"),0)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hidden="1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IFERROR(__xludf.DUMMYFUNCTION("IMPORTRANGE(""https://docs.google.com/spreadsheets/d/1eHaY18a8A9IcSdp1K8H6x8fbOy06t2VsZHhMHf-1x7Y/edit?usp=sharing"",""แผน!J29"")"),0)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IFERROR(__xludf.DUMMYFUNCTION("IMPORTRANGE(""https://docs.google.com/spreadsheets/d/1-uDff_7J0KD5mKrp0Vvzr7lt3OU09vwQwhkpOPPYv2Y/edit?usp=sharing"",""งบพรบ!AW29"")"),0)</f>
        <v>0</v>
      </c>
      <c r="M100" s="230">
        <f ca="1">IFERROR(__xludf.DUMMYFUNCTION("IMPORTRANGE(""https://docs.google.com/spreadsheets/d/1-uDff_7J0KD5mKrp0Vvzr7lt3OU09vwQwhkpOPPYv2Y/edit?usp=sharing"",""งบพรบ!BB29"")"),0)</f>
        <v>0</v>
      </c>
      <c r="N100" s="230">
        <f ca="1">IFERROR(__xludf.DUMMYFUNCTION("IMPORTRANGE(""https://docs.google.com/spreadsheets/d/1-uDff_7J0KD5mKrp0Vvzr7lt3OU09vwQwhkpOPPYv2Y/edit?usp=sharing"",""งบพรบ!BD29"")"),0)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IFERROR(__xludf.DUMMYFUNCTION("IMPORTRANGE(""https://docs.google.com/spreadsheets/d/1ItG2mGa2ceCfYo0BwxsXqNm01IGEUdYcSSLTEv9YCik/edit?usp=sharing"",""เบิกจ่ายกองทุน!AD29"")"),0)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IFERROR(__xludf.DUMMYFUNCTION("IMPORTRANGE(""https://docs.google.com/spreadsheets/d/1ItG2mGa2ceCfYo0BwxsXqNm01IGEUdYcSSLTEv9YCik/edit?usp=sharing"",""เบิกจ่ายกองทุน!AE29"")"),0)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IFERROR(__xludf.DUMMYFUNCTION("IMPORTRANGE(""https://docs.google.com/spreadsheets/d/1ItG2mGa2ceCfYo0BwxsXqNm01IGEUdYcSSLTEv9YCik/edit?usp=sharing"",""เบิกจ่ายกองทุน!AF29"")"),0)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IFERROR(__xludf.DUMMYFUNCTION("IMPORTRANGE(""https://docs.google.com/spreadsheets/d/1-uDff_7J0KD5mKrp0Vvzr7lt3OU09vwQwhkpOPPYv2Y/edit?usp=sharing"",""งบพรบ!AZ29"")"),0)</f>
        <v>0</v>
      </c>
      <c r="M103" s="230">
        <f ca="1">IFERROR(__xludf.DUMMYFUNCTION("IMPORTRANGE(""https://docs.google.com/spreadsheets/d/1-uDff_7J0KD5mKrp0Vvzr7lt3OU09vwQwhkpOPPYv2Y/edit?usp=sharing"",""งบพรบ!BC29"")"),0)</f>
        <v>0</v>
      </c>
      <c r="N103" s="230">
        <f ca="1">IFERROR(__xludf.DUMMYFUNCTION("IMPORTRANGE(""https://docs.google.com/spreadsheets/d/1-uDff_7J0KD5mKrp0Vvzr7lt3OU09vwQwhkpOPPYv2Y/edit?usp=sharing"",""งบพรบ!BE29"")"),0)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IFERROR(__xludf.DUMMYFUNCTION("IMPORTRANGE(""https://docs.google.com/spreadsheets/d/1eHaY18a8A9IcSdp1K8H6x8fbOy06t2VsZHhMHf-1x7Y/edit?usp=sharing"",""แผน!N29"")"),0)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IFERROR(__xludf.DUMMYFUNCTION("IMPORTRANGE(""https://docs.google.com/spreadsheets/d/1eHaY18a8A9IcSdp1K8H6x8fbOy06t2VsZHhMHf-1x7Y/edit?usp=sharing"",""แผน!O29"")"),0)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IFERROR(__xludf.DUMMYFUNCTION("IMPORTRANGE(""https://docs.google.com/spreadsheets/d/1eHaY18a8A9IcSdp1K8H6x8fbOy06t2VsZHhMHf-1x7Y/edit?usp=sharing"",""แผน!R29"")"),0)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25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229220</v>
      </c>
      <c r="R118" s="515">
        <f t="shared" ca="1" si="76"/>
        <v>229220</v>
      </c>
      <c r="S118" s="515">
        <f t="shared" ca="1" si="76"/>
        <v>0</v>
      </c>
      <c r="T118" s="515">
        <f t="shared" ref="T118:T126" ca="1" si="77">IF(Q118&gt;0,S118*100/Q118,0)</f>
        <v>0</v>
      </c>
      <c r="U118" s="515">
        <f t="shared" ref="U118:U126" ca="1" si="78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229220</v>
      </c>
      <c r="R120" s="230">
        <f t="shared" ca="1" si="80"/>
        <v>229220</v>
      </c>
      <c r="S120" s="230">
        <f t="shared" ca="1" si="80"/>
        <v>0</v>
      </c>
      <c r="T120" s="230">
        <f t="shared" ca="1" si="77"/>
        <v>0</v>
      </c>
      <c r="U120" s="230">
        <f t="shared" ca="1" si="78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229220</v>
      </c>
      <c r="R121" s="230">
        <f t="shared" ca="1" si="82"/>
        <v>229220</v>
      </c>
      <c r="S121" s="230">
        <f t="shared" ca="1" si="82"/>
        <v>0</v>
      </c>
      <c r="T121" s="230">
        <f t="shared" ca="1" si="77"/>
        <v>0</v>
      </c>
      <c r="U121" s="230">
        <f t="shared" ca="1" si="78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IFERROR(__xludf.DUMMYFUNCTION("IMPORTRANGE(""https://docs.google.com/spreadsheets/d/1-uDff_7J0KD5mKrp0Vvzr7lt3OU09vwQwhkpOPPYv2Y/edit?usp=sharing"",""งบพรบ!BG29"")"),0)</f>
        <v>0</v>
      </c>
      <c r="M123" s="230">
        <f ca="1">IFERROR(__xludf.DUMMYFUNCTION("IMPORTRANGE(""https://docs.google.com/spreadsheets/d/1-uDff_7J0KD5mKrp0Vvzr7lt3OU09vwQwhkpOPPYv2Y/edit?usp=sharing"",""งบพรบ!BL29"")"),0)</f>
        <v>0</v>
      </c>
      <c r="N123" s="230">
        <f ca="1">IFERROR(__xludf.DUMMYFUNCTION("IMPORTRANGE(""https://docs.google.com/spreadsheets/d/1-uDff_7J0KD5mKrp0Vvzr7lt3OU09vwQwhkpOPPYv2Y/edit?usp=sharing"",""งบพรบ!BN29"")"),0)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IFERROR(__xludf.DUMMYFUNCTION("IMPORTRANGE(""https://docs.google.com/spreadsheets/d/1ItG2mGa2ceCfYo0BwxsXqNm01IGEUdYcSSLTEv9YCik/edit?usp=sharing"",""เบิกจ่ายกองทุน!R29"")"),229220)</f>
        <v>229220</v>
      </c>
      <c r="R123" s="230">
        <f ca="1">IFERROR(__xludf.DUMMYFUNCTION("IMPORTRANGE(""https://docs.google.com/spreadsheets/d/1ItG2mGa2ceCfYo0BwxsXqNm01IGEUdYcSSLTEv9YCik/edit?usp=sharing"",""เบิกจ่ายกองทุน!S29"")"),229220)</f>
        <v>229220</v>
      </c>
      <c r="S123" s="230">
        <f ca="1">IFERROR(__xludf.DUMMYFUNCTION("IMPORTRANGE(""https://docs.google.com/spreadsheets/d/1ItG2mGa2ceCfYo0BwxsXqNm01IGEUdYcSSLTEv9YCik/edit?usp=sharing"",""เบิกจ่ายกองทุน!T29"")"),0)</f>
        <v>0</v>
      </c>
      <c r="T123" s="230">
        <f t="shared" ca="1" si="77"/>
        <v>0</v>
      </c>
      <c r="U123" s="230">
        <f t="shared" ca="1" si="78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IFERROR(__xludf.DUMMYFUNCTION("IMPORTRANGE(""https://docs.google.com/spreadsheets/d/1-uDff_7J0KD5mKrp0Vvzr7lt3OU09vwQwhkpOPPYv2Y/edit?usp=sharing"",""งบพรบ!BJ29"")"),0)</f>
        <v>0</v>
      </c>
      <c r="M126" s="230">
        <f ca="1">IFERROR(__xludf.DUMMYFUNCTION("IMPORTRANGE(""https://docs.google.com/spreadsheets/d/1-uDff_7J0KD5mKrp0Vvzr7lt3OU09vwQwhkpOPPYv2Y/edit?usp=sharing"",""งบพรบ!BM29"")"),0)</f>
        <v>0</v>
      </c>
      <c r="N126" s="230">
        <f ca="1">IFERROR(__xludf.DUMMYFUNCTION("IMPORTRANGE(""https://docs.google.com/spreadsheets/d/1-uDff_7J0KD5mKrp0Vvzr7lt3OU09vwQwhkpOPPYv2Y/edit?usp=sharing"",""งบพรบ!BO29"")"),0)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IFERROR(__xludf.DUMMYFUNCTION("IMPORTRANGE(""https://docs.google.com/spreadsheets/d/1eHaY18a8A9IcSdp1K8H6x8fbOy06t2VsZHhMHf-1x7Y/edit?usp=sharing"",""แผน!FF29"")"),25)</f>
        <v>25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IFERROR(__xludf.DUMMYFUNCTION("IMPORTRANGE(""https://docs.google.com/spreadsheets/d/1eHaY18a8A9IcSdp1K8H6x8fbOy06t2VsZHhMHf-1x7Y/edit?usp=sharing"",""แผน!FG29"")"),0)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IFERROR(__xludf.DUMMYFUNCTION("IMPORTRANGE(""https://docs.google.com/spreadsheets/d/1eHaY18a8A9IcSdp1K8H6x8fbOy06t2VsZHhMHf-1x7Y/edit?usp=sharing"",""แผน!FH29"")"),25)</f>
        <v>25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IFERROR(__xludf.DUMMYFUNCTION("IMPORTRANGE(""https://docs.google.com/spreadsheets/d/1eHaY18a8A9IcSdp1K8H6x8fbOy06t2VsZHhMHf-1x7Y/edit?usp=sharing"",""แผน!FI29"")"),0)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1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20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2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136400</v>
      </c>
      <c r="M140" s="515">
        <f t="shared" ca="1" si="89"/>
        <v>131400</v>
      </c>
      <c r="N140" s="515">
        <f t="shared" ca="1" si="89"/>
        <v>69450.63</v>
      </c>
      <c r="O140" s="515">
        <f t="shared" ref="O140:O148" ca="1" si="90">IF(L140&gt;0,N140*100/L140,0)</f>
        <v>50.916884164222871</v>
      </c>
      <c r="P140" s="515">
        <f t="shared" ref="P140:P148" ca="1" si="91">IF(M140&gt;0,N140*100/M140,0)</f>
        <v>52.854360730593605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136400</v>
      </c>
      <c r="M142" s="230">
        <f t="shared" ca="1" si="95"/>
        <v>131400</v>
      </c>
      <c r="N142" s="230">
        <f t="shared" ca="1" si="95"/>
        <v>69450.63</v>
      </c>
      <c r="O142" s="230">
        <f t="shared" ca="1" si="90"/>
        <v>50.916884164222871</v>
      </c>
      <c r="P142" s="230">
        <f t="shared" ca="1" si="91"/>
        <v>52.854360730593605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136400</v>
      </c>
      <c r="M143" s="230">
        <f t="shared" ca="1" si="97"/>
        <v>131400</v>
      </c>
      <c r="N143" s="230">
        <f t="shared" ca="1" si="97"/>
        <v>69450.63</v>
      </c>
      <c r="O143" s="230">
        <f t="shared" ca="1" si="90"/>
        <v>50.916884164222871</v>
      </c>
      <c r="P143" s="230">
        <f t="shared" ca="1" si="91"/>
        <v>52.854360730593605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IFERROR(__xludf.DUMMYFUNCTION("IMPORTRANGE(""https://docs.google.com/spreadsheets/d/1-uDff_7J0KD5mKrp0Vvzr7lt3OU09vwQwhkpOPPYv2Y/edit?usp=sharing"",""งบพรบ!BQ29"")"),136400)</f>
        <v>136400</v>
      </c>
      <c r="M145" s="230">
        <f ca="1">IFERROR(__xludf.DUMMYFUNCTION("IMPORTRANGE(""https://docs.google.com/spreadsheets/d/1-uDff_7J0KD5mKrp0Vvzr7lt3OU09vwQwhkpOPPYv2Y/edit?usp=sharing"",""งบพรบ!BV29"")"),131400)</f>
        <v>131400</v>
      </c>
      <c r="N145" s="230">
        <f ca="1">IFERROR(__xludf.DUMMYFUNCTION("IMPORTRANGE(""https://docs.google.com/spreadsheets/d/1-uDff_7J0KD5mKrp0Vvzr7lt3OU09vwQwhkpOPPYv2Y/edit?usp=sharing"",""งบพรบ!BX29"")"),69450.63)</f>
        <v>69450.63</v>
      </c>
      <c r="O145" s="230">
        <f t="shared" ca="1" si="90"/>
        <v>50.916884164222871</v>
      </c>
      <c r="P145" s="230">
        <f t="shared" ca="1" si="91"/>
        <v>52.854360730593605</v>
      </c>
      <c r="Q145" s="230">
        <f ca="1">IFERROR(__xludf.DUMMYFUNCTION("IMPORTRANGE(""https://docs.google.com/spreadsheets/d/1ItG2mGa2ceCfYo0BwxsXqNm01IGEUdYcSSLTEv9YCik/edit?usp=sharing"",""เบิกจ่ายกองทุน!BB29"")"),0)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IFERROR(__xludf.DUMMYFUNCTION("IMPORTRANGE(""https://docs.google.com/spreadsheets/d/1ItG2mGa2ceCfYo0BwxsXqNm01IGEUdYcSSLTEv9YCik/edit?usp=sharing"",""เบิกจ่ายกองทุน!BC29"")"),0)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IFERROR(__xludf.DUMMYFUNCTION("IMPORTRANGE(""https://docs.google.com/spreadsheets/d/1ItG2mGa2ceCfYo0BwxsXqNm01IGEUdYcSSLTEv9YCik/edit?usp=sharing"",""เบิกจ่ายกองทุน!BD29"")"),0)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IFERROR(__xludf.DUMMYFUNCTION("IMPORTRANGE(""https://docs.google.com/spreadsheets/d/1-uDff_7J0KD5mKrp0Vvzr7lt3OU09vwQwhkpOPPYv2Y/edit?usp=sharing"",""งบพรบ!BT29"")"),0)</f>
        <v>0</v>
      </c>
      <c r="M148" s="230">
        <f ca="1">IFERROR(__xludf.DUMMYFUNCTION("IMPORTRANGE(""https://docs.google.com/spreadsheets/d/1-uDff_7J0KD5mKrp0Vvzr7lt3OU09vwQwhkpOPPYv2Y/edit?usp=sharing"",""งบพรบ!BW29"")"),0)</f>
        <v>0</v>
      </c>
      <c r="N148" s="230">
        <f ca="1">IFERROR(__xludf.DUMMYFUNCTION("IMPORTRANGE(""https://docs.google.com/spreadsheets/d/1-uDff_7J0KD5mKrp0Vvzr7lt3OU09vwQwhkpOPPYv2Y/edit?usp=sharing"",""งบพรบ!BY29"")"),0)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IFERROR(__xludf.DUMMYFUNCTION("IMPORTRANGE(""https://docs.google.com/spreadsheets/d/1eHaY18a8A9IcSdp1K8H6x8fbOy06t2VsZHhMHf-1x7Y/edit?usp=sharing"",""แผน!U29"")"),10)</f>
        <v>10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IFERROR(__xludf.DUMMYFUNCTION("IMPORTRANGE(""https://docs.google.com/spreadsheets/d/1eHaY18a8A9IcSdp1K8H6x8fbOy06t2VsZHhMHf-1x7Y/edit?usp=sharing"",""แผน!V29"")"),1)</f>
        <v>1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IFERROR(__xludf.DUMMYFUNCTION("IMPORTRANGE(""https://docs.google.com/spreadsheets/d/1eHaY18a8A9IcSdp1K8H6x8fbOy06t2VsZHhMHf-1x7Y/edit?usp=sharing"",""แผน!W29"")"),20)</f>
        <v>20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IFERROR(__xludf.DUMMYFUNCTION("IMPORTRANGE(""https://docs.google.com/spreadsheets/d/1eHaY18a8A9IcSdp1K8H6x8fbOy06t2VsZHhMHf-1x7Y/edit?usp=sharing"",""แผน!X29"")"),2)</f>
        <v>2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IFERROR(__xludf.DUMMYFUNCTION("IMPORTRANGE(""https://docs.google.com/spreadsheets/d/1eHaY18a8A9IcSdp1K8H6x8fbOy06t2VsZHhMHf-1x7Y/edit?usp=sharing"",""แผน!Y29"")"),1)</f>
        <v>1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I170</f>
        <v>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0</v>
      </c>
      <c r="M158" s="515">
        <f t="shared" ca="1" si="103"/>
        <v>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0</v>
      </c>
      <c r="M160" s="230">
        <f t="shared" ca="1" si="109"/>
        <v>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0</v>
      </c>
      <c r="M161" s="230">
        <f t="shared" ca="1" si="111"/>
        <v>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IFERROR(__xludf.DUMMYFUNCTION("IMPORTRANGE(""https://docs.google.com/spreadsheets/d/1-uDff_7J0KD5mKrp0Vvzr7lt3OU09vwQwhkpOPPYv2Y/edit?usp=sharing"",""งบพรบ!CA29"")"),0)</f>
        <v>0</v>
      </c>
      <c r="M163" s="230">
        <f ca="1">IFERROR(__xludf.DUMMYFUNCTION("IMPORTRANGE(""https://docs.google.com/spreadsheets/d/1-uDff_7J0KD5mKrp0Vvzr7lt3OU09vwQwhkpOPPYv2Y/edit?usp=sharing"",""งบพรบ!CF29"")"),0)</f>
        <v>0</v>
      </c>
      <c r="N163" s="230">
        <f ca="1">IFERROR(__xludf.DUMMYFUNCTION("IMPORTRANGE(""https://docs.google.com/spreadsheets/d/1-uDff_7J0KD5mKrp0Vvzr7lt3OU09vwQwhkpOPPYv2Y/edit?usp=sharing"",""งบพรบ!CH29"")"),0)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IFERROR(__xludf.DUMMYFUNCTION("IMPORTRANGE(""https://docs.google.com/spreadsheets/d/1ItG2mGa2ceCfYo0BwxsXqNm01IGEUdYcSSLTEv9YCik/edit?usp=sharing"",""เบิกจ่ายกองทุน!AG29"")"),0)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IFERROR(__xludf.DUMMYFUNCTION("IMPORTRANGE(""https://docs.google.com/spreadsheets/d/1ItG2mGa2ceCfYo0BwxsXqNm01IGEUdYcSSLTEv9YCik/edit?usp=sharing"",""เบิกจ่ายกองทุน!AH29"")"),0)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IFERROR(__xludf.DUMMYFUNCTION("IMPORTRANGE(""https://docs.google.com/spreadsheets/d/1ItG2mGa2ceCfYo0BwxsXqNm01IGEUdYcSSLTEv9YCik/edit?usp=sharing"",""เบิกจ่ายกองทุน!AI29"")"),0)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IFERROR(__xludf.DUMMYFUNCTION("IMPORTRANGE(""https://docs.google.com/spreadsheets/d/1-uDff_7J0KD5mKrp0Vvzr7lt3OU09vwQwhkpOPPYv2Y/edit?usp=sharing"",""งบพรบ!CD29"")"),0)</f>
        <v>0</v>
      </c>
      <c r="M166" s="230">
        <f ca="1">IFERROR(__xludf.DUMMYFUNCTION("IMPORTRANGE(""https://docs.google.com/spreadsheets/d/1-uDff_7J0KD5mKrp0Vvzr7lt3OU09vwQwhkpOPPYv2Y/edit?usp=sharing"",""งบพรบ!CG29"")"),0)</f>
        <v>0</v>
      </c>
      <c r="N166" s="230">
        <f ca="1">IFERROR(__xludf.DUMMYFUNCTION("IMPORTRANGE(""https://docs.google.com/spreadsheets/d/1-uDff_7J0KD5mKrp0Vvzr7lt3OU09vwQwhkpOPPYv2Y/edit?usp=sharing"",""งบพรบ!CI29"")"),0)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IFERROR(__xludf.DUMMYFUNCTION("IMPORTRANGE(""https://docs.google.com/spreadsheets/d/1eHaY18a8A9IcSdp1K8H6x8fbOy06t2VsZHhMHf-1x7Y/edit?usp=sharing"",""แผน!Z29"")"),0)</f>
        <v>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IFERROR(__xludf.DUMMYFUNCTION("IMPORTRANGE(""https://docs.google.com/spreadsheets/d/1eHaY18a8A9IcSdp1K8H6x8fbOy06t2VsZHhMHf-1x7Y/edit?usp=sharing"",""แผน!Z29"")"),0)</f>
        <v>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IFERROR(__xludf.DUMMYFUNCTION("IMPORTRANGE(""https://docs.google.com/spreadsheets/d/1eHaY18a8A9IcSdp1K8H6x8fbOy06t2VsZHhMHf-1x7Y/edit?usp=sharing"",""แผน!Z29"")"),0)</f>
        <v>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85520</v>
      </c>
      <c r="N174" s="515">
        <f t="shared" ca="1" si="117"/>
        <v>70246.05</v>
      </c>
      <c r="O174" s="515">
        <f t="shared" ref="O174:O182" ca="1" si="118">IF(L174&gt;0,N174*100/L174,0)</f>
        <v>358.58116385911177</v>
      </c>
      <c r="P174" s="515">
        <f t="shared" ref="P174:P182" ca="1" si="119">IF(M174&gt;0,N174*100/M174,0)</f>
        <v>82.139908793264738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85520</v>
      </c>
      <c r="N176" s="230">
        <f t="shared" ca="1" si="123"/>
        <v>70246.05</v>
      </c>
      <c r="O176" s="230">
        <f t="shared" ca="1" si="118"/>
        <v>358.58116385911177</v>
      </c>
      <c r="P176" s="230">
        <f t="shared" ca="1" si="119"/>
        <v>82.139908793264738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85520</v>
      </c>
      <c r="N177" s="230">
        <f t="shared" ca="1" si="125"/>
        <v>70246.05</v>
      </c>
      <c r="O177" s="230">
        <f t="shared" ca="1" si="118"/>
        <v>358.58116385911177</v>
      </c>
      <c r="P177" s="230">
        <f t="shared" ca="1" si="119"/>
        <v>82.139908793264738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IFERROR(__xludf.DUMMYFUNCTION("IMPORTRANGE(""https://docs.google.com/spreadsheets/d/1-uDff_7J0KD5mKrp0Vvzr7lt3OU09vwQwhkpOPPYv2Y/edit?usp=sharing"",""งบพรบ!CK29"")"),19590)</f>
        <v>19590</v>
      </c>
      <c r="M179" s="230">
        <f ca="1">IFERROR(__xludf.DUMMYFUNCTION("IMPORTRANGE(""https://docs.google.com/spreadsheets/d/1-uDff_7J0KD5mKrp0Vvzr7lt3OU09vwQwhkpOPPYv2Y/edit?usp=sharing"",""งบพรบ!CP29"")"),85520)</f>
        <v>85520</v>
      </c>
      <c r="N179" s="230">
        <f ca="1">IFERROR(__xludf.DUMMYFUNCTION("IMPORTRANGE(""https://docs.google.com/spreadsheets/d/1-uDff_7J0KD5mKrp0Vvzr7lt3OU09vwQwhkpOPPYv2Y/edit?usp=sharing"",""งบพรบ!CR29"")"),70246.05)</f>
        <v>70246.05</v>
      </c>
      <c r="O179" s="230">
        <f t="shared" ca="1" si="118"/>
        <v>358.58116385911177</v>
      </c>
      <c r="P179" s="230">
        <f t="shared" ca="1" si="119"/>
        <v>82.139908793264738</v>
      </c>
      <c r="Q179" s="230">
        <f ca="1">IFERROR(__xludf.DUMMYFUNCTION("IMPORTRANGE(""https://docs.google.com/spreadsheets/d/1ItG2mGa2ceCfYo0BwxsXqNm01IGEUdYcSSLTEv9YCik/edit?usp=sharing"",""เบิกจ่ายกองทุน!BE29"")"),0)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IFERROR(__xludf.DUMMYFUNCTION("IMPORTRANGE(""https://docs.google.com/spreadsheets/d/1ItG2mGa2ceCfYo0BwxsXqNm01IGEUdYcSSLTEv9YCik/edit?usp=sharing"",""เบิกจ่ายกองทุน!BF29"")"),0)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IFERROR(__xludf.DUMMYFUNCTION("IMPORTRANGE(""https://docs.google.com/spreadsheets/d/1ItG2mGa2ceCfYo0BwxsXqNm01IGEUdYcSSLTEv9YCik/edit?usp=sharing"",""เบิกจ่ายกองทุน!BG29"")"),0)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IFERROR(__xludf.DUMMYFUNCTION("IMPORTRANGE(""https://docs.google.com/spreadsheets/d/1-uDff_7J0KD5mKrp0Vvzr7lt3OU09vwQwhkpOPPYv2Y/edit?usp=sharing"",""งบพรบ!CN29"")"),0)</f>
        <v>0</v>
      </c>
      <c r="M182" s="230">
        <f ca="1">IFERROR(__xludf.DUMMYFUNCTION("IMPORTRANGE(""https://docs.google.com/spreadsheets/d/1-uDff_7J0KD5mKrp0Vvzr7lt3OU09vwQwhkpOPPYv2Y/edit?usp=sharing"",""งบพรบ!CQ29"")"),0)</f>
        <v>0</v>
      </c>
      <c r="N182" s="230">
        <f ca="1">IFERROR(__xludf.DUMMYFUNCTION("IMPORTRANGE(""https://docs.google.com/spreadsheets/d/1-uDff_7J0KD5mKrp0Vvzr7lt3OU09vwQwhkpOPPYv2Y/edit?usp=sharing"",""งบพรบ!CS29"")"),0)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IFERROR(__xludf.DUMMYFUNCTION("IMPORTRANGE(""https://docs.google.com/spreadsheets/d/1eHaY18a8A9IcSdp1K8H6x8fbOy06t2VsZHhMHf-1x7Y/edit?usp=sharing"",""แผน!AA29"")"),7)</f>
        <v>7</v>
      </c>
      <c r="J184" s="520">
        <v>0</v>
      </c>
      <c r="K184" s="230">
        <f t="shared" ref="K184:K186" ca="1" si="129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161500</v>
      </c>
      <c r="M187" s="515">
        <f t="shared" ca="1" si="131"/>
        <v>129500</v>
      </c>
      <c r="N187" s="515">
        <f t="shared" ca="1" si="131"/>
        <v>52670</v>
      </c>
      <c r="O187" s="515">
        <f t="shared" ref="O187:O195" ca="1" si="132">IF(L187&gt;0,N187*100/L187,0)</f>
        <v>32.61300309597523</v>
      </c>
      <c r="P187" s="515">
        <f t="shared" ref="P187:P195" ca="1" si="133">IF(M187&gt;0,N187*100/M187,0)</f>
        <v>40.671814671814673</v>
      </c>
      <c r="Q187" s="515">
        <f t="shared" ref="Q187:S187" ca="1" si="134">Q188+Q189</f>
        <v>91700</v>
      </c>
      <c r="R187" s="515">
        <f t="shared" ca="1" si="134"/>
        <v>91700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161500</v>
      </c>
      <c r="M189" s="230">
        <f t="shared" ca="1" si="137"/>
        <v>129500</v>
      </c>
      <c r="N189" s="230">
        <f t="shared" ca="1" si="137"/>
        <v>52670</v>
      </c>
      <c r="O189" s="230">
        <f t="shared" ca="1" si="132"/>
        <v>32.61300309597523</v>
      </c>
      <c r="P189" s="230">
        <f t="shared" ca="1" si="133"/>
        <v>40.671814671814673</v>
      </c>
      <c r="Q189" s="230">
        <f t="shared" ca="1" si="138"/>
        <v>91700</v>
      </c>
      <c r="R189" s="230">
        <f t="shared" ca="1" si="138"/>
        <v>91700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161500</v>
      </c>
      <c r="M190" s="230">
        <f t="shared" ca="1" si="139"/>
        <v>129500</v>
      </c>
      <c r="N190" s="230">
        <f t="shared" ca="1" si="139"/>
        <v>52670</v>
      </c>
      <c r="O190" s="230">
        <f t="shared" ca="1" si="132"/>
        <v>32.61300309597523</v>
      </c>
      <c r="P190" s="230">
        <f t="shared" ca="1" si="133"/>
        <v>40.671814671814673</v>
      </c>
      <c r="Q190" s="230">
        <f t="shared" ref="Q190:S190" ca="1" si="140">Q191+Q192</f>
        <v>91700</v>
      </c>
      <c r="R190" s="230">
        <f t="shared" ca="1" si="140"/>
        <v>91700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IFERROR(__xludf.DUMMYFUNCTION("IMPORTRANGE(""https://docs.google.com/spreadsheets/d/1-uDff_7J0KD5mKrp0Vvzr7lt3OU09vwQwhkpOPPYv2Y/edit?usp=sharing"",""งบพรบ!CU29"")"),161500)</f>
        <v>161500</v>
      </c>
      <c r="M192" s="230">
        <f ca="1">IFERROR(__xludf.DUMMYFUNCTION("IMPORTRANGE(""https://docs.google.com/spreadsheets/d/1-uDff_7J0KD5mKrp0Vvzr7lt3OU09vwQwhkpOPPYv2Y/edit?usp=sharing"",""งบพรบ!CZ29"")"),129500)</f>
        <v>129500</v>
      </c>
      <c r="N192" s="230">
        <f ca="1">IFERROR(__xludf.DUMMYFUNCTION("IMPORTRANGE(""https://docs.google.com/spreadsheets/d/1-uDff_7J0KD5mKrp0Vvzr7lt3OU09vwQwhkpOPPYv2Y/edit?usp=sharing"",""งบพรบ!DB29"")"),52670)</f>
        <v>52670</v>
      </c>
      <c r="O192" s="230">
        <f t="shared" ca="1" si="132"/>
        <v>32.61300309597523</v>
      </c>
      <c r="P192" s="230">
        <f t="shared" ca="1" si="133"/>
        <v>40.671814671814673</v>
      </c>
      <c r="Q192" s="230">
        <f ca="1">IFERROR(__xludf.DUMMYFUNCTION("IMPORTRANGE(""https://docs.google.com/spreadsheets/d/1ItG2mGa2ceCfYo0BwxsXqNm01IGEUdYcSSLTEv9YCik/edit?usp=sharing"",""เบิกจ่ายกองทุน!AV29"")"),91700)</f>
        <v>91700</v>
      </c>
      <c r="R192" s="230">
        <f ca="1">IFERROR(__xludf.DUMMYFUNCTION("IMPORTRANGE(""https://docs.google.com/spreadsheets/d/1ItG2mGa2ceCfYo0BwxsXqNm01IGEUdYcSSLTEv9YCik/edit?usp=sharing"",""เบิกจ่ายกองทุน!AW29"")"),91700)</f>
        <v>91700</v>
      </c>
      <c r="S192" s="230">
        <f ca="1">IFERROR(__xludf.DUMMYFUNCTION("IMPORTRANGE(""https://docs.google.com/spreadsheets/d/1ItG2mGa2ceCfYo0BwxsXqNm01IGEUdYcSSLTEv9YCik/edit?usp=sharing"",""เบิกจ่ายกองทุน!AX29"")"),0)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IFERROR(__xludf.DUMMYFUNCTION("IMPORTRANGE(""https://docs.google.com/spreadsheets/d/1-uDff_7J0KD5mKrp0Vvzr7lt3OU09vwQwhkpOPPYv2Y/edit?usp=sharing"",""งบพรบ!CX29"")"),0)</f>
        <v>0</v>
      </c>
      <c r="M195" s="230">
        <f ca="1">IFERROR(__xludf.DUMMYFUNCTION("IMPORTRANGE(""https://docs.google.com/spreadsheets/d/1-uDff_7J0KD5mKrp0Vvzr7lt3OU09vwQwhkpOPPYv2Y/edit?usp=sharing"",""งบพรบ!DA29"")"),0)</f>
        <v>0</v>
      </c>
      <c r="N195" s="230">
        <f ca="1">IFERROR(__xludf.DUMMYFUNCTION("IMPORTRANGE(""https://docs.google.com/spreadsheets/d/1-uDff_7J0KD5mKrp0Vvzr7lt3OU09vwQwhkpOPPYv2Y/edit?usp=sharing"",""งบพรบ!DC29"")"),0)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IFERROR(__xludf.DUMMYFUNCTION("IMPORTRANGE(""https://docs.google.com/spreadsheets/d/1eHaY18a8A9IcSdp1K8H6x8fbOy06t2VsZHhMHf-1x7Y/edit?usp=sharing"",""แผน!AB29"")"),6000)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IFERROR(__xludf.DUMMYFUNCTION("IMPORTRANGE(""https://docs.google.com/spreadsheets/d/1eHaY18a8A9IcSdp1K8H6x8fbOy06t2VsZHhMHf-1x7Y/edit?usp=sharing"",""แผน!AE29"")"),4)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3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44000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IFERROR(__xludf.DUMMYFUNCTION("IMPORTRANGE(""https://docs.google.com/spreadsheets/d/1eHaY18a8A9IcSdp1K8H6x8fbOy06t2VsZHhMHf-1x7Y/edit?usp=sharing"",""แผน!AG29"")"),3000)</f>
        <v>3000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IFERROR(__xludf.DUMMYFUNCTION("IMPORTRANGE(""https://docs.google.com/spreadsheets/d/1eHaY18a8A9IcSdp1K8H6x8fbOy06t2VsZHhMHf-1x7Y/edit?usp=sharing"",""แผน!AH29"")"),0)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IFERROR(__xludf.DUMMYFUNCTION("IMPORTRANGE(""https://docs.google.com/spreadsheets/d/1eHaY18a8A9IcSdp1K8H6x8fbOy06t2VsZHhMHf-1x7Y/edit?usp=sharing"",""แผน!AI29"")"),24000)</f>
        <v>24000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IFERROR(__xludf.DUMMYFUNCTION("IMPORTRANGE(""https://docs.google.com/spreadsheets/d/1eHaY18a8A9IcSdp1K8H6x8fbOy06t2VsZHhMHf-1x7Y/edit?usp=sharing"",""แผน!AJ29"")"),17000)</f>
        <v>17000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IFERROR(__xludf.DUMMYFUNCTION("IMPORTRANGE(""https://docs.google.com/spreadsheets/d/1eHaY18a8A9IcSdp1K8H6x8fbOy06t2VsZHhMHf-1x7Y/edit?usp=sharing"",""แผน!AK29"")"),3)</f>
        <v>3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IFERROR(__xludf.DUMMYFUNCTION("IMPORTRANGE(""https://docs.google.com/spreadsheets/d/1eHaY18a8A9IcSdp1K8H6x8fbOy06t2VsZHhMHf-1x7Y/edit?usp=sharing"",""แผน!JX29"")"),3)</f>
        <v>3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IFERROR(__xludf.DUMMYFUNCTION("IMPORTRANGE(""https://docs.google.com/spreadsheets/d/1eHaY18a8A9IcSdp1K8H6x8fbOy06t2VsZHhMHf-1x7Y/edit?usp=sharing"",""แผน!JY29"")"),1)</f>
        <v>1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1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14000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IFERROR(__xludf.DUMMYFUNCTION("IMPORTRANGE(""https://docs.google.com/spreadsheets/d/1eHaY18a8A9IcSdp1K8H6x8fbOy06t2VsZHhMHf-1x7Y/edit?usp=sharing"",""แผน!AM29"")"),1000)</f>
        <v>1000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IFERROR(__xludf.DUMMYFUNCTION("IMPORTRANGE(""https://docs.google.com/spreadsheets/d/1eHaY18a8A9IcSdp1K8H6x8fbOy06t2VsZHhMHf-1x7Y/edit?usp=sharing"",""แผน!AN29"")"),5000)</f>
        <v>5000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IFERROR(__xludf.DUMMYFUNCTION("IMPORTRANGE(""https://docs.google.com/spreadsheets/d/1eHaY18a8A9IcSdp1K8H6x8fbOy06t2VsZHhMHf-1x7Y/edit?usp=sharing"",""แผน!AO29"")"),8000)</f>
        <v>8000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IFERROR(__xludf.DUMMYFUNCTION("IMPORTRANGE(""https://docs.google.com/spreadsheets/d/1eHaY18a8A9IcSdp1K8H6x8fbOy06t2VsZHhMHf-1x7Y/edit?usp=sharing"",""แผน!AP29"")"),1)</f>
        <v>1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IFERROR(__xludf.DUMMYFUNCTION("IMPORTRANGE(""https://docs.google.com/spreadsheets/d/1eHaY18a8A9IcSdp1K8H6x8fbOy06t2VsZHhMHf-1x7Y/edit?usp=sharing"",""แผน!AP29"")"),1)</f>
        <v>1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30000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6500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IFERROR(__xludf.DUMMYFUNCTION("IMPORTRANGE(""https://docs.google.com/spreadsheets/d/1eHaY18a8A9IcSdp1K8H6x8fbOy06t2VsZHhMHf-1x7Y/edit?usp=sharing"",""แผน!AR29"")"),5000)</f>
        <v>5000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IFERROR(__xludf.DUMMYFUNCTION("IMPORTRANGE(""https://docs.google.com/spreadsheets/d/1eHaY18a8A9IcSdp1K8H6x8fbOy06t2VsZHhMHf-1x7Y/edit?usp=sharing"",""แผน!AS29"")"),1500)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IFERROR(__xludf.DUMMYFUNCTION("IMPORTRANGE(""https://docs.google.com/spreadsheets/d/1eHaY18a8A9IcSdp1K8H6x8fbOy06t2VsZHhMHf-1x7Y/edit?usp=sharing"",""แผน!AT29"")"),0)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IFERROR(__xludf.DUMMYFUNCTION("IMPORTRANGE(""https://docs.google.com/spreadsheets/d/1eHaY18a8A9IcSdp1K8H6x8fbOy06t2VsZHhMHf-1x7Y/edit?usp=sharing"",""แผน!AV29"")"),30000)</f>
        <v>30000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IFERROR(__xludf.DUMMYFUNCTION("IMPORTRANGE(""https://docs.google.com/spreadsheets/d/1eHaY18a8A9IcSdp1K8H6x8fbOy06t2VsZHhMHf-1x7Y/edit?usp=sharing"",""แผน!AV29"")"),30000)</f>
        <v>30000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IFERROR(__xludf.DUMMYFUNCTION("IMPORTRANGE(""https://docs.google.com/spreadsheets/d/1eHaY18a8A9IcSdp1K8H6x8fbOy06t2VsZHhMHf-1x7Y/edit?usp=sharing"",""แผน!AU29"")"),0)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IFERROR(__xludf.DUMMYFUNCTION("IMPORTRANGE(""https://docs.google.com/spreadsheets/d/1eHaY18a8A9IcSdp1K8H6x8fbOy06t2VsZHhMHf-1x7Y/edit?usp=sharing"",""แผน!AX29"")"),0)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IFERROR(__xludf.DUMMYFUNCTION("IMPORTRANGE(""https://docs.google.com/spreadsheets/d/1eHaY18a8A9IcSdp1K8H6x8fbOy06t2VsZHhMHf-1x7Y/edit?usp=sharing"",""แผน!AY29"")"),0)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IFERROR(__xludf.DUMMYFUNCTION("IMPORTRANGE(""https://docs.google.com/spreadsheets/d/1eHaY18a8A9IcSdp1K8H6x8fbOy06t2VsZHhMHf-1x7Y/edit?usp=sharing"",""แผน!AZ29"")"),0)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IFERROR(__xludf.DUMMYFUNCTION("IMPORTRANGE(""https://docs.google.com/spreadsheets/d/1eHaY18a8A9IcSdp1K8H6x8fbOy06t2VsZHhMHf-1x7Y/edit?usp=sharing"",""แผน!BA29"")"),0)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IFERROR(__xludf.DUMMYFUNCTION("IMPORTRANGE(""https://docs.google.com/spreadsheets/d/1eHaY18a8A9IcSdp1K8H6x8fbOy06t2VsZHhMHf-1x7Y/edit?usp=sharing"",""แผน!BG29"")"),0)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IFERROR(__xludf.DUMMYFUNCTION("IMPORTRANGE(""https://docs.google.com/spreadsheets/d/1eHaY18a8A9IcSdp1K8H6x8fbOy06t2VsZHhMHf-1x7Y/edit?usp=sharing"",""แผน!BB29"")"),0)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IFERROR(__xludf.DUMMYFUNCTION("IMPORTRANGE(""https://docs.google.com/spreadsheets/d/1eHaY18a8A9IcSdp1K8H6x8fbOy06t2VsZHhMHf-1x7Y/edit?usp=sharing"",""แผน!BC29"")"),0)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IFERROR(__xludf.DUMMYFUNCTION("IMPORTRANGE(""https://docs.google.com/spreadsheets/d/1eHaY18a8A9IcSdp1K8H6x8fbOy06t2VsZHhMHf-1x7Y/edit?usp=sharing"",""แผน!BD29"")"),0)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IFERROR(__xludf.DUMMYFUNCTION("IMPORTRANGE(""https://docs.google.com/spreadsheets/d/1eHaY18a8A9IcSdp1K8H6x8fbOy06t2VsZHhMHf-1x7Y/edit?usp=sharing"",""แผน!BE29"")"),0)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IFERROR(__xludf.DUMMYFUNCTION("IMPORTRANGE(""https://docs.google.com/spreadsheets/d/1eHaY18a8A9IcSdp1K8H6x8fbOy06t2VsZHhMHf-1x7Y/edit?usp=sharing"",""แผน!BH29"")"),0)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22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50660</v>
      </c>
      <c r="R267" s="583">
        <f t="shared" ca="1" si="164"/>
        <v>50660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50660</v>
      </c>
      <c r="R269" s="592">
        <f t="shared" ca="1" si="168"/>
        <v>50660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50660</v>
      </c>
      <c r="R270" s="592">
        <f t="shared" ca="1" si="170"/>
        <v>50660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IFERROR(__xludf.DUMMYFUNCTION("IMPORTRANGE(""https://docs.google.com/spreadsheets/d/1-uDff_7J0KD5mKrp0Vvzr7lt3OU09vwQwhkpOPPYv2Y/edit?usp=sharing"",""งบพรบ!DE29"")"),0)</f>
        <v>0</v>
      </c>
      <c r="M272" s="592">
        <f ca="1">IFERROR(__xludf.DUMMYFUNCTION("IMPORTRANGE(""https://docs.google.com/spreadsheets/d/1-uDff_7J0KD5mKrp0Vvzr7lt3OU09vwQwhkpOPPYv2Y/edit?usp=sharing"",""งบพรบ!DJ29"")"),5000)</f>
        <v>5000</v>
      </c>
      <c r="N272" s="592">
        <f ca="1">IFERROR(__xludf.DUMMYFUNCTION("IMPORTRANGE(""https://docs.google.com/spreadsheets/d/1-uDff_7J0KD5mKrp0Vvzr7lt3OU09vwQwhkpOPPYv2Y/edit?usp=sharing"",""งบพรบ!DL29"")"),0)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IFERROR(__xludf.DUMMYFUNCTION("IMPORTRANGE(""https://docs.google.com/spreadsheets/d/1ItG2mGa2ceCfYo0BwxsXqNm01IGEUdYcSSLTEv9YCik/edit?usp=sharing"",""เบิกจ่ายกองทุน!AJ29"")"),50660)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IFERROR(__xludf.DUMMYFUNCTION("IMPORTRANGE(""https://docs.google.com/spreadsheets/d/1ItG2mGa2ceCfYo0BwxsXqNm01IGEUdYcSSLTEv9YCik/edit?usp=sharing"",""เบิกจ่ายกองทุน!AK29"")"),50660)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IFERROR(__xludf.DUMMYFUNCTION("IMPORTRANGE(""https://docs.google.com/spreadsheets/d/1ItG2mGa2ceCfYo0BwxsXqNm01IGEUdYcSSLTEv9YCik/edit?usp=sharing"",""เบิกจ่ายกองทุน!AL29"")"),0)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IFERROR(__xludf.DUMMYFUNCTION("IMPORTRANGE(""https://docs.google.com/spreadsheets/d/1-uDff_7J0KD5mKrp0Vvzr7lt3OU09vwQwhkpOPPYv2Y/edit?usp=sharing"",""งบพรบ!DH29"")"),0)</f>
        <v>0</v>
      </c>
      <c r="M275" s="592">
        <f ca="1">IFERROR(__xludf.DUMMYFUNCTION("IMPORTRANGE(""https://docs.google.com/spreadsheets/d/1-uDff_7J0KD5mKrp0Vvzr7lt3OU09vwQwhkpOPPYv2Y/edit?usp=sharing"",""งบพรบ!DK29"")"),0)</f>
        <v>0</v>
      </c>
      <c r="N275" s="592">
        <f ca="1">IFERROR(__xludf.DUMMYFUNCTION("IMPORTRANGE(""https://docs.google.com/spreadsheets/d/1-uDff_7J0KD5mKrp0Vvzr7lt3OU09vwQwhkpOPPYv2Y/edit?usp=sharing"",""งบพรบ!DM29"")"),0)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IFERROR(__xludf.DUMMYFUNCTION("IMPORTRANGE(""https://docs.google.com/spreadsheets/d/1eHaY18a8A9IcSdp1K8H6x8fbOy06t2VsZHhMHf-1x7Y/edit?usp=sharing"",""แผน!EC29"")"),22)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20</v>
      </c>
      <c r="J281" s="619">
        <f t="shared" si="173"/>
        <v>0</v>
      </c>
      <c r="K281" s="620">
        <f t="shared" ref="K281:K282" ca="1" si="174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200</v>
      </c>
      <c r="J282" s="619">
        <f t="shared" si="175"/>
        <v>0</v>
      </c>
      <c r="K282" s="620">
        <f t="shared" ca="1" si="174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71120</v>
      </c>
      <c r="M283" s="515">
        <f t="shared" ca="1" si="176"/>
        <v>71120</v>
      </c>
      <c r="N283" s="515">
        <f t="shared" ca="1" si="176"/>
        <v>21603</v>
      </c>
      <c r="O283" s="515">
        <f t="shared" ref="O283:O291" ca="1" si="177">IF(L283&gt;0,N283*100/L283,0)</f>
        <v>30.375421822272216</v>
      </c>
      <c r="P283" s="515">
        <f t="shared" ref="P283:P291" ca="1" si="178">IF(M283&gt;0,N283*100/M283,0)</f>
        <v>30.375421822272216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71120</v>
      </c>
      <c r="M285" s="230">
        <f t="shared" ca="1" si="182"/>
        <v>71120</v>
      </c>
      <c r="N285" s="230">
        <f t="shared" ca="1" si="182"/>
        <v>21603</v>
      </c>
      <c r="O285" s="230">
        <f t="shared" ca="1" si="177"/>
        <v>30.375421822272216</v>
      </c>
      <c r="P285" s="230">
        <f t="shared" ca="1" si="178"/>
        <v>30.375421822272216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71120</v>
      </c>
      <c r="M286" s="230">
        <f t="shared" ca="1" si="184"/>
        <v>71120</v>
      </c>
      <c r="N286" s="230">
        <f t="shared" ca="1" si="184"/>
        <v>21603</v>
      </c>
      <c r="O286" s="230">
        <f t="shared" ca="1" si="177"/>
        <v>30.375421822272216</v>
      </c>
      <c r="P286" s="230">
        <f t="shared" ca="1" si="178"/>
        <v>30.375421822272216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IFERROR(__xludf.DUMMYFUNCTION("IMPORTRANGE(""https://docs.google.com/spreadsheets/d/1-uDff_7J0KD5mKrp0Vvzr7lt3OU09vwQwhkpOPPYv2Y/edit?usp=sharing"",""งบพรบ!DO29"")"),71120)</f>
        <v>71120</v>
      </c>
      <c r="M288" s="230">
        <f ca="1">IFERROR(__xludf.DUMMYFUNCTION("IMPORTRANGE(""https://docs.google.com/spreadsheets/d/1-uDff_7J0KD5mKrp0Vvzr7lt3OU09vwQwhkpOPPYv2Y/edit?usp=sharing"",""งบพรบ!DT29"")"),71120)</f>
        <v>71120</v>
      </c>
      <c r="N288" s="230">
        <f ca="1">IFERROR(__xludf.DUMMYFUNCTION("IMPORTRANGE(""https://docs.google.com/spreadsheets/d/1-uDff_7J0KD5mKrp0Vvzr7lt3OU09vwQwhkpOPPYv2Y/edit?usp=sharing"",""งบพรบ!DV29"")"),21603)</f>
        <v>21603</v>
      </c>
      <c r="O288" s="230">
        <f t="shared" ca="1" si="177"/>
        <v>30.375421822272216</v>
      </c>
      <c r="P288" s="230">
        <f t="shared" ca="1" si="178"/>
        <v>30.375421822272216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IFERROR(__xludf.DUMMYFUNCTION("IMPORTRANGE(""https://docs.google.com/spreadsheets/d/1-uDff_7J0KD5mKrp0Vvzr7lt3OU09vwQwhkpOPPYv2Y/edit?usp=sharing"",""งบพรบ!DR29"")"),0)</f>
        <v>0</v>
      </c>
      <c r="M291" s="230">
        <f ca="1">IFERROR(__xludf.DUMMYFUNCTION("IMPORTRANGE(""https://docs.google.com/spreadsheets/d/1-uDff_7J0KD5mKrp0Vvzr7lt3OU09vwQwhkpOPPYv2Y/edit?usp=sharing"",""งบพรบ!DU29"")"),0)</f>
        <v>0</v>
      </c>
      <c r="N291" s="230">
        <f ca="1">IFERROR(__xludf.DUMMYFUNCTION("IMPORTRANGE(""https://docs.google.com/spreadsheets/d/1-uDff_7J0KD5mKrp0Vvzr7lt3OU09vwQwhkpOPPYv2Y/edit?usp=sharing"",""งบพรบ!DW29"")"),0)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IFERROR(__xludf.DUMMYFUNCTION("IMPORTRANGE(""https://docs.google.com/spreadsheets/d/1eHaY18a8A9IcSdp1K8H6x8fbOy06t2VsZHhMHf-1x7Y/edit?usp=sharing"",""แผน!EE29"")"),200)</f>
        <v>200</v>
      </c>
      <c r="J293" s="520">
        <v>0</v>
      </c>
      <c r="K293" s="521">
        <f t="shared" ref="K293:K294" ca="1" si="188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IFERROR(__xludf.DUMMYFUNCTION("IMPORTRANGE(""https://docs.google.com/spreadsheets/d/1eHaY18a8A9IcSdp1K8H6x8fbOy06t2VsZHhMHf-1x7Y/edit?usp=sharing"",""แผน!ED29"")"),20)</f>
        <v>20</v>
      </c>
      <c r="J294" s="340">
        <f>J297</f>
        <v>0</v>
      </c>
      <c r="K294" s="518">
        <f t="shared" ca="1" si="188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IFERROR(__xludf.DUMMYFUNCTION("IMPORTRANGE(""https://docs.google.com/spreadsheets/d/1eHaY18a8A9IcSdp1K8H6x8fbOy06t2VsZHhMHf-1x7Y/edit?usp=sharing"",""แผน!ED29"")"),20)</f>
        <v>20</v>
      </c>
      <c r="J296" s="520">
        <v>0</v>
      </c>
      <c r="K296" s="521">
        <f t="shared" ref="K296:K297" ca="1" si="189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IFERROR(__xludf.DUMMYFUNCTION("IMPORTRANGE(""https://docs.google.com/spreadsheets/d/1eHaY18a8A9IcSdp1K8H6x8fbOy06t2VsZHhMHf-1x7Y/edit?usp=sharing"",""แผน!ED29"")"),20)</f>
        <v>20</v>
      </c>
      <c r="J297" s="520">
        <v>0</v>
      </c>
      <c r="K297" s="521">
        <f t="shared" ca="1" si="189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184600</v>
      </c>
      <c r="M304" s="515">
        <f t="shared" ca="1" si="191"/>
        <v>184600</v>
      </c>
      <c r="N304" s="515">
        <f t="shared" ca="1" si="191"/>
        <v>58057</v>
      </c>
      <c r="O304" s="515">
        <f t="shared" ref="O304:O312" ca="1" si="192">IF(L304&gt;0,N304*100/L304,0)</f>
        <v>31.450162513542796</v>
      </c>
      <c r="P304" s="515">
        <f t="shared" ref="P304:P312" ca="1" si="193">IF(M304&gt;0,N304*100/M304,0)</f>
        <v>31.450162513542796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184600</v>
      </c>
      <c r="M306" s="230">
        <f t="shared" ca="1" si="197"/>
        <v>184600</v>
      </c>
      <c r="N306" s="230">
        <f t="shared" ca="1" si="197"/>
        <v>58057</v>
      </c>
      <c r="O306" s="230">
        <f t="shared" ca="1" si="192"/>
        <v>31.450162513542796</v>
      </c>
      <c r="P306" s="230">
        <f t="shared" ca="1" si="193"/>
        <v>31.450162513542796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184600</v>
      </c>
      <c r="M307" s="230">
        <f t="shared" ca="1" si="199"/>
        <v>184600</v>
      </c>
      <c r="N307" s="230">
        <f t="shared" ca="1" si="199"/>
        <v>58057</v>
      </c>
      <c r="O307" s="230">
        <f t="shared" ca="1" si="192"/>
        <v>31.450162513542796</v>
      </c>
      <c r="P307" s="230">
        <f t="shared" ca="1" si="193"/>
        <v>31.450162513542796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IFERROR(__xludf.DUMMYFUNCTION("IMPORTRANGE(""https://docs.google.com/spreadsheets/d/1-uDff_7J0KD5mKrp0Vvzr7lt3OU09vwQwhkpOPPYv2Y/edit?usp=sharing"",""งบพรบ!DY29"")"),184600)</f>
        <v>184600</v>
      </c>
      <c r="M309" s="230">
        <f ca="1">IFERROR(__xludf.DUMMYFUNCTION("IMPORTRANGE(""https://docs.google.com/spreadsheets/d/1-uDff_7J0KD5mKrp0Vvzr7lt3OU09vwQwhkpOPPYv2Y/edit?usp=sharing"",""งบพรบ!ED29"")"),184600)</f>
        <v>184600</v>
      </c>
      <c r="N309" s="230">
        <f ca="1">IFERROR(__xludf.DUMMYFUNCTION("IMPORTRANGE(""https://docs.google.com/spreadsheets/d/1-uDff_7J0KD5mKrp0Vvzr7lt3OU09vwQwhkpOPPYv2Y/edit?usp=sharing"",""งบพรบ!EF29"")"),58057)</f>
        <v>58057</v>
      </c>
      <c r="O309" s="230">
        <f t="shared" ca="1" si="192"/>
        <v>31.450162513542796</v>
      </c>
      <c r="P309" s="230">
        <f t="shared" ca="1" si="193"/>
        <v>31.450162513542796</v>
      </c>
      <c r="Q309" s="230">
        <f ca="1">IFERROR(__xludf.DUMMYFUNCTION("IMPORTRANGE(""https://docs.google.com/spreadsheets/d/1ItG2mGa2ceCfYo0BwxsXqNm01IGEUdYcSSLTEv9YCik/edit?usp=sharing"",""เบิกจ่ายกองทุน!AP29"")"),144609.24)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IFERROR(__xludf.DUMMYFUNCTION("IMPORTRANGE(""https://docs.google.com/spreadsheets/d/1ItG2mGa2ceCfYo0BwxsXqNm01IGEUdYcSSLTEv9YCik/edit?usp=sharing"",""เบิกจ่ายกองทุน!AQ29"")"),144609)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IFERROR(__xludf.DUMMYFUNCTION("IMPORTRANGE(""https://docs.google.com/spreadsheets/d/1ItG2mGa2ceCfYo0BwxsXqNm01IGEUdYcSSLTEv9YCik/edit?usp=sharing"",""เบิกจ่ายกองทุน!AR29"")"),0)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IFERROR(__xludf.DUMMYFUNCTION("IMPORTRANGE(""https://docs.google.com/spreadsheets/d/1-uDff_7J0KD5mKrp0Vvzr7lt3OU09vwQwhkpOPPYv2Y/edit?usp=sharing"",""งบพรบ!EB29"")"),0)</f>
        <v>0</v>
      </c>
      <c r="M312" s="230">
        <f ca="1">IFERROR(__xludf.DUMMYFUNCTION("IMPORTRANGE(""https://docs.google.com/spreadsheets/d/1-uDff_7J0KD5mKrp0Vvzr7lt3OU09vwQwhkpOPPYv2Y/edit?usp=sharing"",""งบพรบ!EE29"")"),0)</f>
        <v>0</v>
      </c>
      <c r="N312" s="230">
        <f ca="1">IFERROR(__xludf.DUMMYFUNCTION("IMPORTRANGE(""https://docs.google.com/spreadsheets/d/1-uDff_7J0KD5mKrp0Vvzr7lt3OU09vwQwhkpOPPYv2Y/edit?usp=sharing"",""งบพรบ!EG29"")"),0)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IFERROR(__xludf.DUMMYFUNCTION("IMPORTRANGE(""https://docs.google.com/spreadsheets/d/1eHaY18a8A9IcSdp1K8H6x8fbOy06t2VsZHhMHf-1x7Y/edit?usp=sharing"",""แผน!EF29"")"),20)</f>
        <v>20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IFERROR(__xludf.DUMMYFUNCTION("IMPORTRANGE(""https://docs.google.com/spreadsheets/d/1-uDff_7J0KD5mKrp0Vvzr7lt3OU09vwQwhkpOPPYv2Y/edit?usp=sharing"",""งบพรบ!EI29"")"),0)</f>
        <v>0</v>
      </c>
      <c r="M326" s="230">
        <f ca="1">IFERROR(__xludf.DUMMYFUNCTION("IMPORTRANGE(""https://docs.google.com/spreadsheets/d/1-uDff_7J0KD5mKrp0Vvzr7lt3OU09vwQwhkpOPPYv2Y/edit?usp=sharing"",""งบพรบ!EN29"")"),0)</f>
        <v>0</v>
      </c>
      <c r="N326" s="230">
        <f ca="1">IFERROR(__xludf.DUMMYFUNCTION("IMPORTRANGE(""https://docs.google.com/spreadsheets/d/1-uDff_7J0KD5mKrp0Vvzr7lt3OU09vwQwhkpOPPYv2Y/edit?usp=sharing"",""งบพรบ!EP29"")"),0)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IFERROR(__xludf.DUMMYFUNCTION("IMPORTRANGE(""https://docs.google.com/spreadsheets/d/1-uDff_7J0KD5mKrp0Vvzr7lt3OU09vwQwhkpOPPYv2Y/edit?usp=sharing"",""งบพรบ!EL29"")"),0)</f>
        <v>0</v>
      </c>
      <c r="M329" s="230">
        <f ca="1">IFERROR(__xludf.DUMMYFUNCTION("IMPORTRANGE(""https://docs.google.com/spreadsheets/d/1-uDff_7J0KD5mKrp0Vvzr7lt3OU09vwQwhkpOPPYv2Y/edit?usp=sharing"",""งบพรบ!EO29"")"),0)</f>
        <v>0</v>
      </c>
      <c r="N329" s="230">
        <f ca="1">IFERROR(__xludf.DUMMYFUNCTION("IMPORTRANGE(""https://docs.google.com/spreadsheets/d/1-uDff_7J0KD5mKrp0Vvzr7lt3OU09vwQwhkpOPPYv2Y/edit?usp=sharing"",""งบพรบ!EQ29"")"),0)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IFERROR(__xludf.DUMMYFUNCTION("IMPORTRANGE(""https://docs.google.com/spreadsheets/d/1eHaY18a8A9IcSdp1K8H6x8fbOy06t2VsZHhMHf-1x7Y/edit?usp=sharing"",""แผน!EJ29"")"),0)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1200</v>
      </c>
      <c r="J333" s="635">
        <f ca="1">J345+J348+J349+J350+J354</f>
        <v>2965</v>
      </c>
      <c r="K333" s="636">
        <f ca="1">IF(I333&gt;0,J333*100/I333,0)</f>
        <v>247.08333333333334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111000</v>
      </c>
      <c r="M334" s="515">
        <f t="shared" ca="1" si="216"/>
        <v>116000</v>
      </c>
      <c r="N334" s="515">
        <f t="shared" ca="1" si="216"/>
        <v>63212</v>
      </c>
      <c r="O334" s="515">
        <f t="shared" ref="O334:O342" ca="1" si="217">IF(L334&gt;0,N334*100/L334,0)</f>
        <v>56.947747747747748</v>
      </c>
      <c r="P334" s="515">
        <f t="shared" ref="P334:P342" ca="1" si="218">IF(M334&gt;0,N334*100/M334,0)</f>
        <v>54.493103448275861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111000</v>
      </c>
      <c r="M336" s="230">
        <f t="shared" ca="1" si="222"/>
        <v>116000</v>
      </c>
      <c r="N336" s="230">
        <f t="shared" ca="1" si="222"/>
        <v>63212</v>
      </c>
      <c r="O336" s="230">
        <f t="shared" ca="1" si="217"/>
        <v>56.947747747747748</v>
      </c>
      <c r="P336" s="230">
        <f t="shared" ca="1" si="218"/>
        <v>54.493103448275861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111000</v>
      </c>
      <c r="M337" s="230">
        <f t="shared" ca="1" si="224"/>
        <v>116000</v>
      </c>
      <c r="N337" s="230">
        <f t="shared" ca="1" si="224"/>
        <v>63212</v>
      </c>
      <c r="O337" s="230">
        <f t="shared" ca="1" si="217"/>
        <v>56.947747747747748</v>
      </c>
      <c r="P337" s="230">
        <f t="shared" ca="1" si="218"/>
        <v>54.493103448275861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IFERROR(__xludf.DUMMYFUNCTION("IMPORTRANGE(""https://docs.google.com/spreadsheets/d/1-uDff_7J0KD5mKrp0Vvzr7lt3OU09vwQwhkpOPPYv2Y/edit?usp=sharing"",""งบพรบ!ES29"")"),111000)</f>
        <v>111000</v>
      </c>
      <c r="M339" s="230">
        <f ca="1">IFERROR(__xludf.DUMMYFUNCTION("IMPORTRANGE(""https://docs.google.com/spreadsheets/d/1-uDff_7J0KD5mKrp0Vvzr7lt3OU09vwQwhkpOPPYv2Y/edit?usp=sharing"",""งบพรบ!EX29"")"),116000)</f>
        <v>116000</v>
      </c>
      <c r="N339" s="230">
        <f ca="1">IFERROR(__xludf.DUMMYFUNCTION("IMPORTRANGE(""https://docs.google.com/spreadsheets/d/1-uDff_7J0KD5mKrp0Vvzr7lt3OU09vwQwhkpOPPYv2Y/edit?usp=sharing"",""งบพรบ!EZ29"")"),63212)</f>
        <v>63212</v>
      </c>
      <c r="O339" s="230">
        <f t="shared" ca="1" si="217"/>
        <v>56.947747747747748</v>
      </c>
      <c r="P339" s="230">
        <f t="shared" ca="1" si="218"/>
        <v>54.493103448275861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IFERROR(__xludf.DUMMYFUNCTION("IMPORTRANGE(""https://docs.google.com/spreadsheets/d/1-uDff_7J0KD5mKrp0Vvzr7lt3OU09vwQwhkpOPPYv2Y/edit?usp=sharing"",""งบพรบ!EV29"")"),0)</f>
        <v>0</v>
      </c>
      <c r="M342" s="230">
        <f ca="1">IFERROR(__xludf.DUMMYFUNCTION("IMPORTRANGE(""https://docs.google.com/spreadsheets/d/1-uDff_7J0KD5mKrp0Vvzr7lt3OU09vwQwhkpOPPYv2Y/edit?usp=sharing"",""งบพรบ!EY29"")"),0)</f>
        <v>0</v>
      </c>
      <c r="N342" s="230">
        <f ca="1">IFERROR(__xludf.DUMMYFUNCTION("IMPORTRANGE(""https://docs.google.com/spreadsheets/d/1-uDff_7J0KD5mKrp0Vvzr7lt3OU09vwQwhkpOPPYv2Y/edit?usp=sharing"",""งบพรบ!FA29"")"),0)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803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IFERROR(__xludf.DUMMYFUNCTION("IMPORTRANGE(""https://docs.google.com/spreadsheets/d/1eHaY18a8A9IcSdp1K8H6x8fbOy06t2VsZHhMHf-1x7Y/edit?usp=sharing"",""แผน!EK29"")"),1200)</f>
        <v>1200</v>
      </c>
      <c r="J345" s="189">
        <f ca="1">IFERROR(__xludf.DUMMYFUNCTION("IMPORTRANGE(""https://docs.google.com/spreadsheets/d/1awYsYK3VOup2i3Pq_Yjnu8DRu_mYwSBnCR2QPthd0rU/edit?usp=sharing"",""ศูนย์ยกเว้นโฉนด!D29"")"),751)</f>
        <v>751</v>
      </c>
      <c r="K345" s="230">
        <f ca="1">IF(I345&gt;0,J345*100/I345,0)</f>
        <v>62.583333333333336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IFERROR(__xludf.DUMMYFUNCTION("IMPORTRANGE(""https://docs.google.com/spreadsheets/d/1eHaY18a8A9IcSdp1K8H6x8fbOy06t2VsZHhMHf-1x7Y/edit?usp=sharing"",""แผน!EL29"")"),4)</f>
        <v>4</v>
      </c>
      <c r="J347" s="189">
        <f ca="1">IFERROR(__xludf.DUMMYFUNCTION("IMPORTRANGE(""https://docs.google.com/spreadsheets/d/1awYsYK3VOup2i3Pq_Yjnu8DRu_mYwSBnCR2QPthd0rU/edit?usp=sharing"",""ศูนย์รวม!E29"")"),4)</f>
        <v>4</v>
      </c>
      <c r="K347" s="230">
        <f ca="1">IF(I347&gt;0,J347*100/I347,0)</f>
        <v>100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IFERROR(__xludf.DUMMYFUNCTION("IMPORTRANGE(""https://docs.google.com/spreadsheets/d/1awYsYK3VOup2i3Pq_Yjnu8DRu_mYwSBnCR2QPthd0rU/edit?usp=sharing"",""ศูนย์ยกเว้นโฉนด!F29"")"),52)</f>
        <v>52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IFERROR(__xludf.DUMMYFUNCTION("IMPORTRANGE(""https://docs.google.com/spreadsheets/d/1awYsYK3VOup2i3Pq_Yjnu8DRu_mYwSBnCR2QPthd0rU/edit?usp=sharing"",""ศูนย์ยกเว้นโฉนด!G29"")"),0)</f>
        <v>0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IFERROR(__xludf.DUMMYFUNCTION("IMPORTRANGE(""https://docs.google.com/spreadsheets/d/1awYsYK3VOup2i3Pq_Yjnu8DRu_mYwSBnCR2QPthd0rU/edit?usp=sharing"",""ศูนย์ยกเว้นโฉนด!H29"")"),0)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2970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IFERROR(__xludf.DUMMYFUNCTION("IMPORTRANGE(""https://docs.google.com/spreadsheets/d/1awYsYK3VOup2i3Pq_Yjnu8DRu_mYwSBnCR2QPthd0rU/edit?usp=sharing"",""โฉนดM3!G29"")"),808)</f>
        <v>808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IFERROR(__xludf.DUMMYFUNCTION("IMPORTRANGE(""https://docs.google.com/spreadsheets/d/1awYsYK3VOup2i3Pq_Yjnu8DRu_mYwSBnCR2QPthd0rU/edit?usp=sharing"",""โฉนดM3!H29"")"),2162)</f>
        <v>2162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452160</v>
      </c>
      <c r="M357" s="515">
        <f t="shared" ca="1" si="228"/>
        <v>452160</v>
      </c>
      <c r="N357" s="515">
        <f t="shared" ca="1" si="228"/>
        <v>266174</v>
      </c>
      <c r="O357" s="515">
        <f t="shared" ref="O357:O365" ca="1" si="229">IF(L357&gt;0,N357*100/L357,0)</f>
        <v>58.867215145081389</v>
      </c>
      <c r="P357" s="515">
        <f t="shared" ref="P357:P365" ca="1" si="230">IF(M357&gt;0,N357*100/M357,0)</f>
        <v>58.867215145081389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452160</v>
      </c>
      <c r="M359" s="230">
        <f t="shared" ca="1" si="234"/>
        <v>452160</v>
      </c>
      <c r="N359" s="230">
        <f t="shared" ca="1" si="234"/>
        <v>266174</v>
      </c>
      <c r="O359" s="230">
        <f t="shared" ca="1" si="229"/>
        <v>58.867215145081389</v>
      </c>
      <c r="P359" s="230">
        <f t="shared" ca="1" si="230"/>
        <v>58.867215145081389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452160</v>
      </c>
      <c r="M360" s="230">
        <f t="shared" ca="1" si="236"/>
        <v>452160</v>
      </c>
      <c r="N360" s="230">
        <f t="shared" ca="1" si="236"/>
        <v>266174</v>
      </c>
      <c r="O360" s="230">
        <f t="shared" ca="1" si="229"/>
        <v>58.867215145081389</v>
      </c>
      <c r="P360" s="230">
        <f t="shared" ca="1" si="230"/>
        <v>58.867215145081389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IFERROR(__xludf.DUMMYFUNCTION("IMPORTRANGE(""https://docs.google.com/spreadsheets/d/1-uDff_7J0KD5mKrp0Vvzr7lt3OU09vwQwhkpOPPYv2Y/edit?usp=sharing"",""งบพรบ!FC29"")"),452160)</f>
        <v>452160</v>
      </c>
      <c r="M362" s="230">
        <f ca="1">IFERROR(__xludf.DUMMYFUNCTION("IMPORTRANGE(""https://docs.google.com/spreadsheets/d/1-uDff_7J0KD5mKrp0Vvzr7lt3OU09vwQwhkpOPPYv2Y/edit?usp=sharing"",""งบพรบ!FH29"")"),452160)</f>
        <v>452160</v>
      </c>
      <c r="N362" s="230">
        <f ca="1">IFERROR(__xludf.DUMMYFUNCTION("IMPORTRANGE(""https://docs.google.com/spreadsheets/d/1-uDff_7J0KD5mKrp0Vvzr7lt3OU09vwQwhkpOPPYv2Y/edit?usp=sharing"",""งบพรบ!FJ29"")"),266174)</f>
        <v>266174</v>
      </c>
      <c r="O362" s="230">
        <f t="shared" ca="1" si="229"/>
        <v>58.867215145081389</v>
      </c>
      <c r="P362" s="230">
        <f t="shared" ca="1" si="230"/>
        <v>58.867215145081389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IFERROR(__xludf.DUMMYFUNCTION("IMPORTRANGE(""https://docs.google.com/spreadsheets/d/1-uDff_7J0KD5mKrp0Vvzr7lt3OU09vwQwhkpOPPYv2Y/edit?usp=sharing"",""งบพรบ!FF29"")"),0)</f>
        <v>0</v>
      </c>
      <c r="M365" s="230">
        <f ca="1">IFERROR(__xludf.DUMMYFUNCTION("IMPORTRANGE(""https://docs.google.com/spreadsheets/d/1-uDff_7J0KD5mKrp0Vvzr7lt3OU09vwQwhkpOPPYv2Y/edit?usp=sharing"",""งบพรบ!FI29"")"),0)</f>
        <v>0</v>
      </c>
      <c r="N365" s="230">
        <f ca="1">IFERROR(__xludf.DUMMYFUNCTION("IMPORTRANGE(""https://docs.google.com/spreadsheets/d/1-uDff_7J0KD5mKrp0Vvzr7lt3OU09vwQwhkpOPPYv2Y/edit?usp=sharing"",""งบพรบ!FK29"")"),0)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141</v>
      </c>
      <c r="J366" s="313">
        <f t="shared" ca="1" si="240"/>
        <v>65</v>
      </c>
      <c r="K366" s="314">
        <f ca="1">IF(I366&gt;0,J366*100/I366,0)</f>
        <v>46.099290780141843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IFERROR(__xludf.DUMMYFUNCTION("IMPORTRANGE(""https://docs.google.com/spreadsheets/d/1tdoBKaGub7dwA3U6UFTqxio9LNnvDCQjHKmttSEBsFQ/edit?usp=sharing"",""จัดที่ดิน!AB29"")"),123)</f>
        <v>123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IFERROR(__xludf.DUMMYFUNCTION("IMPORTRANGE(""https://docs.google.com/spreadsheets/d/1eHaY18a8A9IcSdp1K8H6x8fbOy06t2VsZHhMHf-1x7Y/edit?usp=sharing"",""แผน!EW29"")"),1295)</f>
        <v>1295</v>
      </c>
      <c r="J369" s="646">
        <f ca="1">IFERROR(__xludf.DUMMYFUNCTION("IMPORTRANGE(""https://docs.google.com/spreadsheets/d/1tdoBKaGub7dwA3U6UFTqxio9LNnvDCQjHKmttSEBsFQ/edit?usp=sharing"",""จัดที่ดิน!AC29"")"),643.3)</f>
        <v>643.29999999999995</v>
      </c>
      <c r="K369" s="230">
        <f t="shared" ca="1" si="241"/>
        <v>49.67567567567567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IFERROR(__xludf.DUMMYFUNCTION("IMPORTRANGE(""https://docs.google.com/spreadsheets/d/1eHaY18a8A9IcSdp1K8H6x8fbOy06t2VsZHhMHf-1x7Y/edit?usp=sharing"",""แผน!EX29"")"),223)</f>
        <v>223</v>
      </c>
      <c r="J370" s="189">
        <f ca="1">IFERROR(__xludf.DUMMYFUNCTION("IMPORTRANGE(""https://docs.google.com/spreadsheets/d/1tdoBKaGub7dwA3U6UFTqxio9LNnvDCQjHKmttSEBsFQ/edit?usp=sharing"",""จัดที่ดิน!AD29"")"),68)</f>
        <v>68</v>
      </c>
      <c r="K370" s="230">
        <f t="shared" ca="1" si="241"/>
        <v>30.493273542600896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IFERROR(__xludf.DUMMYFUNCTION("IMPORTRANGE(""https://docs.google.com/spreadsheets/d/1tdoBKaGub7dwA3U6UFTqxio9LNnvDCQjHKmttSEBsFQ/edit?usp=sharing"",""จัดที่ดิน!AE29"")"),837.6)</f>
        <v>837.6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IFERROR(__xludf.DUMMYFUNCTION("IMPORTRANGE(""https://docs.google.com/spreadsheets/d/1eHaY18a8A9IcSdp1K8H6x8fbOy06t2VsZHhMHf-1x7Y/edit?usp=sharing"",""แผน!EY29"")"),141)</f>
        <v>141</v>
      </c>
      <c r="J372" s="189">
        <f ca="1">IFERROR(__xludf.DUMMYFUNCTION("IMPORTRANGE(""https://docs.google.com/spreadsheets/d/1tdoBKaGub7dwA3U6UFTqxio9LNnvDCQjHKmttSEBsFQ/edit?usp=sharing"",""จัดที่ดิน!AF29"")"),65)</f>
        <v>65</v>
      </c>
      <c r="K372" s="230">
        <f t="shared" ca="1" si="241"/>
        <v>46.099290780141843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IFERROR(__xludf.DUMMYFUNCTION("IMPORTRANGE(""https://docs.google.com/spreadsheets/d/1tdoBKaGub7dwA3U6UFTqxio9LNnvDCQjHKmttSEBsFQ/edit?usp=sharing"",""จัดที่ดิน!AG29"")"),794.31)</f>
        <v>794.31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5000</v>
      </c>
      <c r="J375" s="654">
        <f t="shared" ca="1" si="242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312500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312500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312500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IFERROR(__xludf.DUMMYFUNCTION("IMPORTRANGE(""https://docs.google.com/spreadsheets/d/1ItG2mGa2ceCfYo0BwxsXqNm01IGEUdYcSSLTEv9YCik/edit?usp=sharing"",""เบิกจ่ายกองทุน!AY29"")"),312500)</f>
        <v>312500</v>
      </c>
      <c r="R381" s="230">
        <f ca="1">IFERROR(__xludf.DUMMYFUNCTION("IMPORTRANGE(""https://docs.google.com/spreadsheets/d/1ItG2mGa2ceCfYo0BwxsXqNm01IGEUdYcSSLTEv9YCik/edit?usp=sharing"",""เบิกจ่ายกองทุน!AZ29"")"),0)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IFERROR(__xludf.DUMMYFUNCTION("IMPORTRANGE(""https://docs.google.com/spreadsheets/d/1ItG2mGa2ceCfYo0BwxsXqNm01IGEUdYcSSLTEv9YCik/edit?usp=sharing"",""เบิกจ่ายกองทุน!BA29"")"),0)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IFERROR(__xludf.DUMMYFUNCTION("IMPORTRANGE(""https://docs.google.com/spreadsheets/d/1w5rwWK1o49a35cNtocGL0gxDwhFSTZUQu90BiH9_zqM/edit?usp=sharing"",""RTK!H29"")"),0)</f>
        <v>0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IFERROR(__xludf.DUMMYFUNCTION("IMPORTRANGE(""https://docs.google.com/spreadsheets/d/1w5rwWK1o49a35cNtocGL0gxDwhFSTZUQu90BiH9_zqM/edit?usp=sharing"",""RTK!G29"")"),5000)</f>
        <v>5000</v>
      </c>
      <c r="J387" s="189">
        <f ca="1">IFERROR(__xludf.DUMMYFUNCTION("IMPORTRANGE(""https://docs.google.com/spreadsheets/d/1w5rwWK1o49a35cNtocGL0gxDwhFSTZUQu90BiH9_zqM/edit?usp=sharing"",""RTK!I29"")"),0)</f>
        <v>0</v>
      </c>
      <c r="K387" s="230">
        <f t="shared" ca="1" si="255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IFERROR(__xludf.DUMMYFUNCTION("IMPORTRANGE(""https://docs.google.com/spreadsheets/d/1w5rwWK1o49a35cNtocGL0gxDwhFSTZUQu90BiH9_zqM/edit?usp=sharing"",""RTK!L29"")"),0)</f>
        <v>0</v>
      </c>
      <c r="K388" s="592">
        <f t="shared" si="255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IFERROR(__xludf.DUMMYFUNCTION("IMPORTRANGE(""https://docs.google.com/spreadsheets/d/1w5rwWK1o49a35cNtocGL0gxDwhFSTZUQu90BiH9_zqM/edit?usp=sharing"",""RTK!K29"")"),0)</f>
        <v>0</v>
      </c>
      <c r="J389" s="661">
        <f ca="1">IFERROR(__xludf.DUMMYFUNCTION("IMPORTRANGE(""https://docs.google.com/spreadsheets/d/1w5rwWK1o49a35cNtocGL0gxDwhFSTZUQu90BiH9_zqM/edit?usp=sharing"",""RTK!M29"")"),0)</f>
        <v>0</v>
      </c>
      <c r="K389" s="592">
        <f t="shared" ca="1" si="255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IFERROR(__xludf.DUMMYFUNCTION("IMPORTRANGE(""https://docs.google.com/spreadsheets/d/1ItG2mGa2ceCfYo0BwxsXqNm01IGEUdYcSSLTEv9YCik/edit?usp=sharing"",""เบิกจ่ายกองทุน!BH29"")"),0)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IFERROR(__xludf.DUMMYFUNCTION("IMPORTRANGE(""https://docs.google.com/spreadsheets/d/1ItG2mGa2ceCfYo0BwxsXqNm01IGEUdYcSSLTEv9YCik/edit?usp=sharing"",""เบิกจ่ายกองทุน!BI29"")"),0)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IFERROR(__xludf.DUMMYFUNCTION("IMPORTRANGE(""https://docs.google.com/spreadsheets/d/1ItG2mGa2ceCfYo0BwxsXqNm01IGEUdYcSSLTEv9YCik/edit?usp=sharing"",""เบิกจ่ายกองทุน!BJ29"")"),0)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IFERROR(__xludf.DUMMYFUNCTION("IMPORTRANGE(""https://docs.google.com/spreadsheets/d/1eHaY18a8A9IcSdp1K8H6x8fbOy06t2VsZHhMHf-1x7Y/edit?usp=sharing"",""แผน!HJ29"")"),0)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IFERROR(__xludf.DUMMYFUNCTION("IMPORTRANGE(""https://docs.google.com/spreadsheets/d/1eHaY18a8A9IcSdp1K8H6x8fbOy06t2VsZHhMHf-1x7Y/edit?usp=sharing"",""แผน!HK29"")"),0)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IFERROR(__xludf.DUMMYFUNCTION("IMPORTRANGE(""https://docs.google.com/spreadsheets/d/1eHaY18a8A9IcSdp1K8H6x8fbOy06t2VsZHhMHf-1x7Y/edit?usp=sharing"",""แผน!HJ29"")"),0)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IFERROR(__xludf.DUMMYFUNCTION("IMPORTRANGE(""https://docs.google.com/spreadsheets/d/1eHaY18a8A9IcSdp1K8H6x8fbOy06t2VsZHhMHf-1x7Y/edit?usp=sharing"",""แผน!HK29"")"),0)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IFERROR(__xludf.DUMMYFUNCTION("IMPORTRANGE(""https://docs.google.com/spreadsheets/d/1eHaY18a8A9IcSdp1K8H6x8fbOy06t2VsZHhMHf-1x7Y/edit?usp=sharing"",""แผน!HJ29"")"),0)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IFERROR(__xludf.DUMMYFUNCTION("IMPORTRANGE(""https://docs.google.com/spreadsheets/d/1eHaY18a8A9IcSdp1K8H6x8fbOy06t2VsZHhMHf-1x7Y/edit?usp=sharing"",""แผน!HK29"")"),0)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IFERROR(__xludf.DUMMYFUNCTION("IMPORTRANGE(""https://docs.google.com/spreadsheets/d/1eHaY18a8A9IcSdp1K8H6x8fbOy06t2VsZHhMHf-1x7Y/edit?usp=sharing"",""แผน!HL29"")"),0)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IFERROR(__xludf.DUMMYFUNCTION("IMPORTRANGE(""https://docs.google.com/spreadsheets/d/1eHaY18a8A9IcSdp1K8H6x8fbOy06t2VsZHhMHf-1x7Y/edit?usp=sharing"",""แผน!HM29"")"),0)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IFERROR(__xludf.DUMMYFUNCTION("IMPORTRANGE(""https://docs.google.com/spreadsheets/d/1eHaY18a8A9IcSdp1K8H6x8fbOy06t2VsZHhMHf-1x7Y/edit?usp=sharing"",""แผน!HN29"")"),0)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IFERROR(__xludf.DUMMYFUNCTION("IMPORTRANGE(""https://docs.google.com/spreadsheets/d/1eHaY18a8A9IcSdp1K8H6x8fbOy06t2VsZHhMHf-1x7Y/edit?usp=sharing"",""แผน!HO29"")"),0)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IFERROR(__xludf.DUMMYFUNCTION("IMPORTRANGE(""https://docs.google.com/spreadsheets/d/1ItG2mGa2ceCfYo0BwxsXqNm01IGEUdYcSSLTEv9YCik/edit?usp=sharing"",""เบิกจ่ายกองทุน!X29"")"),0)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IFERROR(__xludf.DUMMYFUNCTION("IMPORTRANGE(""https://docs.google.com/spreadsheets/d/1ItG2mGa2ceCfYo0BwxsXqNm01IGEUdYcSSLTEv9YCik/edit?usp=sharing"",""เบิกจ่ายกองทุน!Y29"")"),0)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IFERROR(__xludf.DUMMYFUNCTION("IMPORTRANGE(""https://docs.google.com/spreadsheets/d/1ItG2mGa2ceCfYo0BwxsXqNm01IGEUdYcSSLTEv9YCik/edit?usp=sharing"",""เบิกจ่ายกองทุน!Z29"")"),0)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IFERROR(__xludf.DUMMYFUNCTION("IMPORTRANGE(""https://docs.google.com/spreadsheets/d/1eHaY18a8A9IcSdp1K8H6x8fbOy06t2VsZHhMHf-1x7Y/edit?usp=sharing"",""แผน!GX29"")"),0)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IFERROR(__xludf.DUMMYFUNCTION("IMPORTRANGE(""https://docs.google.com/spreadsheets/d/1eHaY18a8A9IcSdp1K8H6x8fbOy06t2VsZHhMHf-1x7Y/edit?usp=sharing"",""แผน!GY29"")"),0)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IFERROR(__xludf.DUMMYFUNCTION("IMPORTRANGE(""https://docs.google.com/spreadsheets/d/1eHaY18a8A9IcSdp1K8H6x8fbOy06t2VsZHhMHf-1x7Y/edit?usp=sharing"",""แผน!GZ29"")"),0)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IFERROR(__xludf.DUMMYFUNCTION("IMPORTRANGE(""https://docs.google.com/spreadsheets/d/1eHaY18a8A9IcSdp1K8H6x8fbOy06t2VsZHhMHf-1x7Y/edit?usp=sharing"",""แผน!HA29"")"),0)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IFERROR(__xludf.DUMMYFUNCTION("IMPORTRANGE(""https://docs.google.com/spreadsheets/d/1eHaY18a8A9IcSdp1K8H6x8fbOy06t2VsZHhMHf-1x7Y/edit?usp=sharing"",""แผน!HB29"")"),0)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IFERROR(__xludf.DUMMYFUNCTION("IMPORTRANGE(""https://docs.google.com/spreadsheets/d/1eHaY18a8A9IcSdp1K8H6x8fbOy06t2VsZHhMHf-1x7Y/edit?usp=sharing"",""แผน!HC29"")"),0)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IFERROR(__xludf.DUMMYFUNCTION("IMPORTRANGE(""https://docs.google.com/spreadsheets/d/1-uDff_7J0KD5mKrp0Vvzr7lt3OU09vwQwhkpOPPYv2Y/edit?usp=sharing"",""งบพรบ!FM29"")"),0)</f>
        <v>0</v>
      </c>
      <c r="M519" s="230">
        <f ca="1">IFERROR(__xludf.DUMMYFUNCTION("IMPORTRANGE(""https://docs.google.com/spreadsheets/d/1-uDff_7J0KD5mKrp0Vvzr7lt3OU09vwQwhkpOPPYv2Y/edit?usp=sharing"",""งบพรบ!FR29"")"),0)</f>
        <v>0</v>
      </c>
      <c r="N519" s="230">
        <f ca="1">IFERROR(__xludf.DUMMYFUNCTION("IMPORTRANGE(""https://docs.google.com/spreadsheets/d/1-uDff_7J0KD5mKrp0Vvzr7lt3OU09vwQwhkpOPPYv2Y/edit?usp=sharing"",""งบพรบ!FT29"")"),0)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IFERROR(__xludf.DUMMYFUNCTION("IMPORTRANGE(""https://docs.google.com/spreadsheets/d/1-uDff_7J0KD5mKrp0Vvzr7lt3OU09vwQwhkpOPPYv2Y/edit?usp=sharing"",""งบพรบ!FP29"")"),0)</f>
        <v>0</v>
      </c>
      <c r="M522" s="230">
        <f ca="1">IFERROR(__xludf.DUMMYFUNCTION("IMPORTRANGE(""https://docs.google.com/spreadsheets/d/1-uDff_7J0KD5mKrp0Vvzr7lt3OU09vwQwhkpOPPYv2Y/edit?usp=sharing"",""งบพรบ!FS29"")"),0)</f>
        <v>0</v>
      </c>
      <c r="N522" s="230">
        <f ca="1">IFERROR(__xludf.DUMMYFUNCTION("IMPORTRANGE(""https://docs.google.com/spreadsheets/d/1-uDff_7J0KD5mKrp0Vvzr7lt3OU09vwQwhkpOPPYv2Y/edit?usp=sharing"",""งบพรบ!FU29"")"),0)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50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6725</v>
      </c>
      <c r="R617" s="515">
        <f t="shared" ca="1" si="383"/>
        <v>6725</v>
      </c>
      <c r="S617" s="515">
        <f t="shared" ca="1" si="383"/>
        <v>1210</v>
      </c>
      <c r="T617" s="515">
        <f t="shared" ref="T617:T625" ca="1" si="384">IF(Q617&gt;0,S617*100/Q617,0)</f>
        <v>17.992565055762082</v>
      </c>
      <c r="U617" s="515">
        <f t="shared" ref="U617:U625" ca="1" si="385">IF(R617&gt;0,S617*100/R617,0)</f>
        <v>17.992565055762082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6725</v>
      </c>
      <c r="R619" s="230">
        <f t="shared" ca="1" si="387"/>
        <v>6725</v>
      </c>
      <c r="S619" s="230">
        <f t="shared" ca="1" si="387"/>
        <v>1210</v>
      </c>
      <c r="T619" s="230">
        <f t="shared" ca="1" si="384"/>
        <v>17.992565055762082</v>
      </c>
      <c r="U619" s="230">
        <f t="shared" ca="1" si="385"/>
        <v>17.992565055762082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6725</v>
      </c>
      <c r="R620" s="230">
        <f t="shared" ca="1" si="389"/>
        <v>6725</v>
      </c>
      <c r="S620" s="230">
        <f t="shared" ca="1" si="389"/>
        <v>1210</v>
      </c>
      <c r="T620" s="230">
        <f t="shared" ca="1" si="384"/>
        <v>17.992565055762082</v>
      </c>
      <c r="U620" s="230">
        <f t="shared" ca="1" si="385"/>
        <v>17.992565055762082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IFERROR(__xludf.DUMMYFUNCTION("IMPORTRANGE(""https://docs.google.com/spreadsheets/d/1ItG2mGa2ceCfYo0BwxsXqNm01IGEUdYcSSLTEv9YCik/edit?usp=sharing"",""เบิกจ่ายกองทุน!F29"")"),6725)</f>
        <v>6725</v>
      </c>
      <c r="R622" s="230">
        <f ca="1">IFERROR(__xludf.DUMMYFUNCTION("IMPORTRANGE(""https://docs.google.com/spreadsheets/d/1ItG2mGa2ceCfYo0BwxsXqNm01IGEUdYcSSLTEv9YCik/edit?usp=sharing"",""เบิกจ่ายกองทุน!G29"")"),6725)</f>
        <v>6725</v>
      </c>
      <c r="S622" s="230">
        <f ca="1">IFERROR(__xludf.DUMMYFUNCTION("IMPORTRANGE(""https://docs.google.com/spreadsheets/d/1ItG2mGa2ceCfYo0BwxsXqNm01IGEUdYcSSLTEv9YCik/edit?usp=sharing"",""เบิกจ่ายกองทุน!H29"")"),1210)</f>
        <v>1210</v>
      </c>
      <c r="T622" s="230">
        <f t="shared" ca="1" si="384"/>
        <v>17.992565055762082</v>
      </c>
      <c r="U622" s="230">
        <f t="shared" ca="1" si="385"/>
        <v>17.992565055762082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IFERROR(__xludf.DUMMYFUNCTION("IMPORTRANGE(""https://docs.google.com/spreadsheets/d/1eHaY18a8A9IcSdp1K8H6x8fbOy06t2VsZHhMHf-1x7Y/edit?usp=sharing"",""แผน!ID29"")"),50)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IFERROR(__xludf.DUMMYFUNCTION("IMPORTRANGE(""https://docs.google.com/spreadsheets/d/1eHaY18a8A9IcSdp1K8H6x8fbOy06t2VsZHhMHf-1x7Y/edit?usp=sharing"",""แผน!IC29"")"),0)</f>
        <v>0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IFERROR(__xludf.DUMMYFUNCTION("IMPORTRANGE(""https://docs.google.com/spreadsheets/d/1eHaY18a8A9IcSdp1K8H6x8fbOy06t2VsZHhMHf-1x7Y/edit?usp=sharing"",""แผน!IC29"")"),0)</f>
        <v>0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IFERROR(__xludf.DUMMYFUNCTION("IMPORTRANGE(""https://docs.google.com/spreadsheets/d/1eHaY18a8A9IcSdp1K8H6x8fbOy06t2VsZHhMHf-1x7Y/edit?usp=sharing"",""แผน!IE29"")"),0)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5600</v>
      </c>
      <c r="R643" s="515">
        <f t="shared" ca="1" si="397"/>
        <v>5600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5600</v>
      </c>
      <c r="R645" s="230">
        <f t="shared" ca="1" si="401"/>
        <v>5600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5600</v>
      </c>
      <c r="R646" s="230">
        <f t="shared" ca="1" si="403"/>
        <v>5600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IFERROR(__xludf.DUMMYFUNCTION("IMPORTRANGE(""https://docs.google.com/spreadsheets/d/1ItG2mGa2ceCfYo0BwxsXqNm01IGEUdYcSSLTEv9YCik/edit?usp=sharing"",""เบิกจ่ายกองทุน!I29"")"),5600)</f>
        <v>5600</v>
      </c>
      <c r="R648" s="230">
        <f ca="1">IFERROR(__xludf.DUMMYFUNCTION("IMPORTRANGE(""https://docs.google.com/spreadsheets/d/1ItG2mGa2ceCfYo0BwxsXqNm01IGEUdYcSSLTEv9YCik/edit?usp=sharing"",""เบิกจ่ายกองทุน!J29"")"),5600)</f>
        <v>5600</v>
      </c>
      <c r="S648" s="230">
        <f ca="1">IFERROR(__xludf.DUMMYFUNCTION("IMPORTRANGE(""https://docs.google.com/spreadsheets/d/1ItG2mGa2ceCfYo0BwxsXqNm01IGEUdYcSSLTEv9YCik/edit?usp=sharing"",""เบิกจ่ายกองทุน!K29"")"),0)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IFERROR(__xludf.DUMMYFUNCTION("IMPORTRANGE(""https://docs.google.com/spreadsheets/d/1eHaY18a8A9IcSdp1K8H6x8fbOy06t2VsZHhMHf-1x7Y/edit?usp=sharing"",""แผน!IF29"")"),0)</f>
        <v>0</v>
      </c>
      <c r="J653" s="189">
        <f ca="1">IFERROR(__xludf.DUMMYFUNCTION("IMPORTRANGE(""https://docs.google.com/spreadsheets/d/1tdoBKaGub7dwA3U6UFTqxio9LNnvDCQjHKmttSEBsFQ/edit?usp=sharing"",""จัดที่ดิน!AU29"")"),0)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IFERROR(__xludf.DUMMYFUNCTION("IMPORTRANGE(""https://docs.google.com/spreadsheets/d/1eHaY18a8A9IcSdp1K8H6x8fbOy06t2VsZHhMHf-1x7Y/edit?usp=sharing"",""แผน!IG29"")"),0)</f>
        <v>0</v>
      </c>
      <c r="J654" s="189">
        <f ca="1">IFERROR(__xludf.DUMMYFUNCTION("IMPORTRANGE(""https://docs.google.com/spreadsheets/d/1tdoBKaGub7dwA3U6UFTqxio9LNnvDCQjHKmttSEBsFQ/edit?usp=sharing"",""จัดที่ดิน!AW29"")"),0)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IFERROR(__xludf.DUMMYFUNCTION("IMPORTRANGE(""https://docs.google.com/spreadsheets/d/1eHaY18a8A9IcSdp1K8H6x8fbOy06t2VsZHhMHf-1x7Y/edit?usp=sharing"",""แผน!IH29"")"),8)</f>
        <v>8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IFERROR(__xludf.DUMMYFUNCTION("IMPORTRANGE(""https://docs.google.com/spreadsheets/d/1eHaY18a8A9IcSdp1K8H6x8fbOy06t2VsZHhMHf-1x7Y/edit?usp=sharing"",""แผน!II29"")"),4)</f>
        <v>4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IFERROR(__xludf.DUMMYFUNCTION("IMPORTRANGE(""https://docs.google.com/spreadsheets/d/1eHaY18a8A9IcSdp1K8H6x8fbOy06t2VsZHhMHf-1x7Y/edit?usp=sharing"",""แผน!IJ29"")"),4)</f>
        <v>4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IFERROR(__xludf.DUMMYFUNCTION("IMPORTRANGE(""https://docs.google.com/spreadsheets/d/1eHaY18a8A9IcSdp1K8H6x8fbOy06t2VsZHhMHf-1x7Y/edit?usp=sharing"",""แผน!IK29"")"),0)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IFERROR(__xludf.DUMMYFUNCTION("IMPORTRANGE(""https://docs.google.com/spreadsheets/d/1tdoBKaGub7dwA3U6UFTqxio9LNnvDCQjHKmttSEBsFQ/edit?usp=sharing"",""จัดที่ดิน!AY29"")"),0)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IFERROR(__xludf.DUMMYFUNCTION("IMPORTRANGE(""https://docs.google.com/spreadsheets/d/1tdoBKaGub7dwA3U6UFTqxio9LNnvDCQjHKmttSEBsFQ/edit?usp=sharing"",""จัดที่ดิน!AZ29"")"),0)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IFERROR(__xludf.DUMMYFUNCTION("IMPORTRANGE(""https://docs.google.com/spreadsheets/d/1eHaY18a8A9IcSdp1K8H6x8fbOy06t2VsZHhMHf-1x7Y/edit?usp=sharing"",""แผน!IL29"")"),72)</f>
        <v>72</v>
      </c>
      <c r="J674" s="189">
        <f ca="1">IFERROR(__xludf.DUMMYFUNCTION("IMPORTRANGE(""https://docs.google.com/spreadsheets/d/1tdoBKaGub7dwA3U6UFTqxio9LNnvDCQjHKmttSEBsFQ/edit?usp=sharing"",""จัดที่ดิน!BA29"")"),0)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IFERROR(__xludf.DUMMYFUNCTION("IMPORTRANGE(""https://docs.google.com/spreadsheets/d/1eHaY18a8A9IcSdp1K8H6x8fbOy06t2VsZHhMHf-1x7Y/edit?usp=sharing"",""แผน!IM29"")"),1)</f>
        <v>1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IFERROR(__xludf.DUMMYFUNCTION("IMPORTRANGE(""https://docs.google.com/spreadsheets/d/1eHaY18a8A9IcSdp1K8H6x8fbOy06t2VsZHhMHf-1x7Y/edit?usp=sharing"",""แผน!IN29"")"),5)</f>
        <v>5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IFERROR(__xludf.DUMMYFUNCTION("IMPORTRANGE(""https://docs.google.com/spreadsheets/d/1eHaY18a8A9IcSdp1K8H6x8fbOy06t2VsZHhMHf-1x7Y/edit?usp=sharing"",""แผน!IO29"")"),1)</f>
        <v>1</v>
      </c>
      <c r="J677" s="189">
        <f ca="1">IFERROR(__xludf.DUMMYFUNCTION("IMPORTRANGE(""https://docs.google.com/spreadsheets/d/1tdoBKaGub7dwA3U6UFTqxio9LNnvDCQjHKmttSEBsFQ/edit?usp=sharing"",""จัดที่ดิน!BF29"")"),0)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IFERROR(__xludf.DUMMYFUNCTION("IMPORTRANGE(""https://docs.google.com/spreadsheets/d/1tdoBKaGub7dwA3U6UFTqxio9LNnvDCQjHKmttSEBsFQ/edit?usp=sharing"",""จัดที่ดิน!BG29"")"),0)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IFERROR(__xludf.DUMMYFUNCTION("IMPORTRANGE(""https://docs.google.com/spreadsheets/d/1eHaY18a8A9IcSdp1K8H6x8fbOy06t2VsZHhMHf-1x7Y/edit?usp=sharing"",""แผน!IP29"")"),5)</f>
        <v>5</v>
      </c>
      <c r="J679" s="189">
        <f ca="1">IFERROR(__xludf.DUMMYFUNCTION("IMPORTRANGE(""https://docs.google.com/spreadsheets/d/1tdoBKaGub7dwA3U6UFTqxio9LNnvDCQjHKmttSEBsFQ/edit?usp=sharing"",""จัดที่ดิน!BH29"")"),0)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IFERROR(__xludf.DUMMYFUNCTION("IMPORTRANGE(""https://docs.google.com/spreadsheets/d/1eHaY18a8A9IcSdp1K8H6x8fbOy06t2VsZHhMHf-1x7Y/edit?usp=sharing"",""แผน!IQ29"")"),0)</f>
        <v>0</v>
      </c>
      <c r="J680" s="189">
        <f ca="1">IFERROR(__xludf.DUMMYFUNCTION("IMPORTRANGE(""https://docs.google.com/spreadsheets/d/1tdoBKaGub7dwA3U6UFTqxio9LNnvDCQjHKmttSEBsFQ/edit?usp=sharing"",""จัดที่ดิน!BK29"")"),0)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IFERROR(__xludf.DUMMYFUNCTION("IMPORTRANGE(""https://docs.google.com/spreadsheets/d/1tdoBKaGub7dwA3U6UFTqxio9LNnvDCQjHKmttSEBsFQ/edit?usp=sharing"",""จัดที่ดิน!BL29"")"),0)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IFERROR(__xludf.DUMMYFUNCTION("IMPORTRANGE(""https://docs.google.com/spreadsheets/d/1eHaY18a8A9IcSdp1K8H6x8fbOy06t2VsZHhMHf-1x7Y/edit?usp=sharing"",""แผน!IR29"")"),0)</f>
        <v>0</v>
      </c>
      <c r="J682" s="189">
        <f ca="1">IFERROR(__xludf.DUMMYFUNCTION("IMPORTRANGE(""https://docs.google.com/spreadsheets/d/1tdoBKaGub7dwA3U6UFTqxio9LNnvDCQjHKmttSEBsFQ/edit?usp=sharing"",""จัดที่ดิน!BM29"")"),0)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IFERROR(__xludf.DUMMYFUNCTION("IMPORTRANGE(""https://docs.google.com/spreadsheets/d/1eHaY18a8A9IcSdp1K8H6x8fbOy06t2VsZHhMHf-1x7Y/edit?usp=sharing"",""แผน!IS29"")"),0)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0">I708</f>
        <v>0</v>
      </c>
      <c r="J690" s="756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66220</v>
      </c>
      <c r="R691" s="515">
        <f t="shared" ca="1" si="414"/>
        <v>66220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66220</v>
      </c>
      <c r="R693" s="230">
        <f t="shared" ca="1" si="418"/>
        <v>66220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66220</v>
      </c>
      <c r="R694" s="230">
        <f t="shared" ca="1" si="420"/>
        <v>66220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6" s="230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6" s="230">
        <f ca="1">IFERROR(__xludf.DUMMYFUNCTION("IMPORTRANGE(""https://docs.google.com/spreadsheets/d/1ItG2mGa2ceCfYo0BwxsXqNm01IGEUdYcSSLTEv9YCik/edit?usp=sharing"",""เบิกจ่ายกองทุน!N29"")"),0)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IFERROR(__xludf.DUMMYFUNCTION("IMPORTRANGE(""https://docs.google.com/spreadsheets/d/1eHaY18a8A9IcSdp1K8H6x8fbOy06t2VsZHhMHf-1x7Y/edit?usp=sharing"",""แผน!LC29"")"),0)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3</v>
      </c>
      <c r="J702" s="340">
        <f t="shared" ca="1" si="424"/>
        <v>0</v>
      </c>
      <c r="K702" s="515">
        <f t="shared" ca="1" si="423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IFERROR(__xludf.DUMMYFUNCTION("IMPORTRANGE(""https://docs.google.com/spreadsheets/d/1eHaY18a8A9IcSdp1K8H6x8fbOy06t2VsZHhMHf-1x7Y/edit?usp=sharing"",""แผน!LJ29"")"),0)</f>
        <v>0</v>
      </c>
      <c r="J704" s="189">
        <f ca="1">IFERROR(__xludf.DUMMYFUNCTION("IMPORTRANGE(""https://docs.google.com/spreadsheets/d/1tdoBKaGub7dwA3U6UFTqxio9LNnvDCQjHKmttSEBsFQ/edit?usp=sharing"",""จัดที่ดิน!AP29"")"),0)</f>
        <v>0</v>
      </c>
      <c r="K704" s="230">
        <f t="shared" ca="1" si="423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IFERROR(__xludf.DUMMYFUNCTION("IMPORTRANGE(""https://docs.google.com/spreadsheets/d/1tdoBKaGub7dwA3U6UFTqxio9LNnvDCQjHKmttSEBsFQ/edit?usp=sharing"",""จัดที่ดิน!AQ29"")"),0)</f>
        <v>0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IFERROR(__xludf.DUMMYFUNCTION("IMPORTRANGE(""https://docs.google.com/spreadsheets/d/1eHaY18a8A9IcSdp1K8H6x8fbOy06t2VsZHhMHf-1x7Y/edit?usp=sharing"",""แผน!LK29"")"),3)</f>
        <v>3</v>
      </c>
      <c r="J706" s="189">
        <f ca="1">IFERROR(__xludf.DUMMYFUNCTION("IMPORTRANGE(""https://docs.google.com/spreadsheets/d/1tdoBKaGub7dwA3U6UFTqxio9LNnvDCQjHKmttSEBsFQ/edit?usp=sharing"",""จัดที่ดิน!AR29"")"),0)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IFERROR(__xludf.DUMMYFUNCTION("IMPORTRANGE(""https://docs.google.com/spreadsheets/d/1tdoBKaGub7dwA3U6UFTqxio9LNnvDCQjHKmttSEBsFQ/edit?usp=sharing"",""จัดที่ดิน!AS29"")"),0)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IFERROR(__xludf.DUMMYFUNCTION("IMPORTRANGE(""https://docs.google.com/spreadsheets/d/1eHaY18a8A9IcSdp1K8H6x8fbOy06t2VsZHhMHf-1x7Y/edit?usp=sharing"",""แผน!LJ29"")"),0)</f>
        <v>0</v>
      </c>
      <c r="J708" s="189">
        <f ca="1">IFERROR(__xludf.DUMMYFUNCTION("IMPORTRANGE(""https://docs.google.com/spreadsheets/d/1tdoBKaGub7dwA3U6UFTqxio9LNnvDCQjHKmttSEBsFQ/edit?usp=sharing"",""จัดที่ดิน!BN29"")"),0)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IFERROR(__xludf.DUMMYFUNCTION("IMPORTRANGE(""https://docs.google.com/spreadsheets/d/1tdoBKaGub7dwA3U6UFTqxio9LNnvDCQjHKmttSEBsFQ/edit?usp=sharing"",""จัดที่ดิน!BO29"")"),0)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IFERROR(__xludf.DUMMYFUNCTION("IMPORTRANGE(""https://docs.google.com/spreadsheets/d/1eHaY18a8A9IcSdp1K8H6x8fbOy06t2VsZHhMHf-1x7Y/edit?usp=sharing"",""แผน!LK29"")"),3)</f>
        <v>3</v>
      </c>
      <c r="J710" s="189">
        <f ca="1">IFERROR(__xludf.DUMMYFUNCTION("IMPORTRANGE(""https://docs.google.com/spreadsheets/d/1tdoBKaGub7dwA3U6UFTqxio9LNnvDCQjHKmttSEBsFQ/edit?usp=sharing"",""จัดที่ดิน!BP29"")"),0)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IFERROR(__xludf.DUMMYFUNCTION("IMPORTRANGE(""https://docs.google.com/spreadsheets/d/1tdoBKaGub7dwA3U6UFTqxio9LNnvDCQjHKmttSEBsFQ/edit?usp=sharing"",""จัดที่ดิน!BQ29"")"),0)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IFERROR(__xludf.DUMMYFUNCTION("IMPORTRANGE(""https://docs.google.com/spreadsheets/d/1eHaY18a8A9IcSdp1K8H6x8fbOy06t2VsZHhMHf-1x7Y/edit?usp=sharing"",""แผน!GA29"")"),128)</f>
        <v>128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IFERROR(__xludf.DUMMYFUNCTION("IMPORTRANGE(""https://docs.google.com/spreadsheets/d/1eHaY18a8A9IcSdp1K8H6x8fbOy06t2VsZHhMHf-1x7Y/edit?usp=sharing"",""แผน!FZ29"")"),1250)</f>
        <v>1250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1008470</v>
      </c>
      <c r="R729" s="515">
        <f t="shared" ca="1" si="441"/>
        <v>1008470</v>
      </c>
      <c r="S729" s="515">
        <f t="shared" ca="1" si="441"/>
        <v>3030</v>
      </c>
      <c r="T729" s="515">
        <f t="shared" ref="T729:T737" ca="1" si="442">IF(Q729&gt;0,S729*100/Q729,0)</f>
        <v>0.30045514492250636</v>
      </c>
      <c r="U729" s="515">
        <f t="shared" ref="U729:U737" ca="1" si="443">IF(R729&gt;0,S729*100/R729,0)</f>
        <v>0.30045514492250636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1008470</v>
      </c>
      <c r="R731" s="230">
        <f t="shared" ca="1" si="445"/>
        <v>1008470</v>
      </c>
      <c r="S731" s="230">
        <f t="shared" ca="1" si="445"/>
        <v>3030</v>
      </c>
      <c r="T731" s="230">
        <f t="shared" ca="1" si="442"/>
        <v>0.30045514492250636</v>
      </c>
      <c r="U731" s="230">
        <f t="shared" ca="1" si="443"/>
        <v>0.30045514492250636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1008470</v>
      </c>
      <c r="R732" s="230">
        <f t="shared" ca="1" si="447"/>
        <v>1008470</v>
      </c>
      <c r="S732" s="230">
        <f t="shared" ca="1" si="447"/>
        <v>3030</v>
      </c>
      <c r="T732" s="230">
        <f t="shared" ca="1" si="442"/>
        <v>0.30045514492250636</v>
      </c>
      <c r="U732" s="230">
        <f t="shared" ca="1" si="443"/>
        <v>0.30045514492250636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IFERROR(__xludf.DUMMYFUNCTION("IMPORTRANGE(""https://docs.google.com/spreadsheets/d/1ItG2mGa2ceCfYo0BwxsXqNm01IGEUdYcSSLTEv9YCik/edit?usp=sharing"",""เบิกจ่ายกองทุน!Q29"")"),3030)</f>
        <v>3030</v>
      </c>
      <c r="T734" s="230">
        <f t="shared" ca="1" si="442"/>
        <v>0.30045514492250636</v>
      </c>
      <c r="U734" s="230">
        <f t="shared" ca="1" si="443"/>
        <v>0.30045514492250636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IFERROR(__xludf.DUMMYFUNCTION("IMPORTRANGE(""https://docs.google.com/spreadsheets/d/1eHaY18a8A9IcSdp1K8H6x8fbOy06t2VsZHhMHf-1x7Y/edit?usp=sharing"",""แผน!GB29"")"),1000)</f>
        <v>1000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IFERROR(__xludf.DUMMYFUNCTION("IMPORTRANGE(""https://docs.google.com/spreadsheets/d/1eHaY18a8A9IcSdp1K8H6x8fbOy06t2VsZHhMHf-1x7Y/edit?usp=sharing"",""แผน!GC29"")"),100)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IFERROR(__xludf.DUMMYFUNCTION("IMPORTRANGE(""https://docs.google.com/spreadsheets/d/1eHaY18a8A9IcSdp1K8H6x8fbOy06t2VsZHhMHf-1x7Y/edit?usp=sharing"",""แผน!GD29"")"),250)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IFERROR(__xludf.DUMMYFUNCTION("IMPORTRANGE(""https://docs.google.com/spreadsheets/d/1eHaY18a8A9IcSdp1K8H6x8fbOy06t2VsZHhMHf-1x7Y/edit?usp=sharing"",""แผน!GE29"")"),25)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IFERROR(__xludf.DUMMYFUNCTION("IMPORTRANGE(""https://docs.google.com/spreadsheets/d/1eHaY18a8A9IcSdp1K8H6x8fbOy06t2VsZHhMHf-1x7Y/edit?usp=sharing"",""แผน!GF29"")"),3)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IFERROR(__xludf.DUMMYFUNCTION("IMPORTRANGE(""https://docs.google.com/spreadsheets/d/1eHaY18a8A9IcSdp1K8H6x8fbOy06t2VsZHhMHf-1x7Y/edit?usp=sharing"",""แผน!GC29"")"),100)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IFERROR(__xludf.DUMMYFUNCTION("IMPORTRANGE(""https://docs.google.com/spreadsheets/d/1eHaY18a8A9IcSdp1K8H6x8fbOy06t2VsZHhMHf-1x7Y/edit?usp=sharing"",""แผน!GE29"")"),25)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50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100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398800</v>
      </c>
      <c r="R760" s="515">
        <f t="shared" ca="1" si="456"/>
        <v>398800</v>
      </c>
      <c r="S760" s="515">
        <f t="shared" ca="1" si="456"/>
        <v>1311.5</v>
      </c>
      <c r="T760" s="515">
        <f t="shared" ref="T760:T768" ca="1" si="457">IF(Q760&gt;0,S760*100/Q760,0)</f>
        <v>0.3288615847542628</v>
      </c>
      <c r="U760" s="515">
        <f t="shared" ref="U760:U768" ca="1" si="458">IF(R760&gt;0,S760*100/R760,0)</f>
        <v>0.3288615847542628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398800</v>
      </c>
      <c r="R762" s="230">
        <f t="shared" ca="1" si="460"/>
        <v>398800</v>
      </c>
      <c r="S762" s="230">
        <f t="shared" ca="1" si="460"/>
        <v>1311.5</v>
      </c>
      <c r="T762" s="230">
        <f t="shared" ca="1" si="457"/>
        <v>0.3288615847542628</v>
      </c>
      <c r="U762" s="230">
        <f t="shared" ca="1" si="458"/>
        <v>0.3288615847542628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398800</v>
      </c>
      <c r="R763" s="230">
        <f t="shared" ca="1" si="462"/>
        <v>398800</v>
      </c>
      <c r="S763" s="230">
        <f t="shared" ca="1" si="462"/>
        <v>1311.5</v>
      </c>
      <c r="T763" s="230">
        <f t="shared" ca="1" si="457"/>
        <v>0.3288615847542628</v>
      </c>
      <c r="U763" s="230">
        <f t="shared" ca="1" si="458"/>
        <v>0.3288615847542628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IFERROR(__xludf.DUMMYFUNCTION("IMPORTRANGE(""https://docs.google.com/spreadsheets/d/1ItG2mGa2ceCfYo0BwxsXqNm01IGEUdYcSSLTEv9YCik/edit?usp=sharing"",""เบิกจ่ายกองทุน!U29"")"),398800)</f>
        <v>398800</v>
      </c>
      <c r="R765" s="230">
        <f ca="1">IFERROR(__xludf.DUMMYFUNCTION("IMPORTRANGE(""https://docs.google.com/spreadsheets/d/1ItG2mGa2ceCfYo0BwxsXqNm01IGEUdYcSSLTEv9YCik/edit?usp=sharing"",""เบิกจ่ายกองทุน!V29"")"),398800)</f>
        <v>398800</v>
      </c>
      <c r="S765" s="230">
        <f ca="1">IFERROR(__xludf.DUMMYFUNCTION("IMPORTRANGE(""https://docs.google.com/spreadsheets/d/1ItG2mGa2ceCfYo0BwxsXqNm01IGEUdYcSSLTEv9YCik/edit?usp=sharing"",""เบิกจ่ายกองทุน!W29"")"),1311.5)</f>
        <v>1311.5</v>
      </c>
      <c r="T765" s="230">
        <f t="shared" ca="1" si="457"/>
        <v>0.3288615847542628</v>
      </c>
      <c r="U765" s="230">
        <f t="shared" ca="1" si="458"/>
        <v>0.3288615847542628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IFERROR(__xludf.DUMMYFUNCTION("IMPORTRANGE(""https://docs.google.com/spreadsheets/d/1eHaY18a8A9IcSdp1K8H6x8fbOy06t2VsZHhMHf-1x7Y/edit?usp=sharing"",""แผน!FI29"")"),0)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IFERROR(__xludf.DUMMYFUNCTION("IMPORTRANGE(""https://docs.google.com/spreadsheets/d/1eHaY18a8A9IcSdp1K8H6x8fbOy06t2VsZHhMHf-1x7Y/edit?usp=sharing"",""แผน!FQ29"")"),50)</f>
        <v>50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IFERROR(__xludf.DUMMYFUNCTION("IMPORTRANGE(""https://docs.google.com/spreadsheets/d/1eHaY18a8A9IcSdp1K8H6x8fbOy06t2VsZHhMHf-1x7Y/edit?usp=sharing"",""แผน!FR29"")"),100)</f>
        <v>100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IFERROR(__xludf.DUMMYFUNCTION("IMPORTRANGE(""https://docs.google.com/spreadsheets/d/1eHaY18a8A9IcSdp1K8H6x8fbOy06t2VsZHhMHf-1x7Y/edit?usp=sharing"",""แผน!FS29"")"),100)</f>
        <v>100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IFERROR(__xludf.DUMMYFUNCTION("IMPORTRANGE(""https://docs.google.com/spreadsheets/d/1eHaY18a8A9IcSdp1K8H6x8fbOy06t2VsZHhMHf-1x7Y/edit?usp=sharing"",""แผน!FT29"")"),50)</f>
        <v>50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IFERROR(__xludf.DUMMYFUNCTION("IMPORTRANGE(""https://docs.google.com/spreadsheets/d/10OvvATaaLtwErnr3qtWFcTmtbfpFEt5Bsqel9sXx0uE/edit?usp=sharing"",""งานกองทุน!D29"")"),24549968.05)</f>
        <v>24549968.050000001</v>
      </c>
      <c r="J778" s="189">
        <f ca="1">IFERROR(__xludf.DUMMYFUNCTION("IMPORTRANGE(""https://docs.google.com/spreadsheets/d/10OvvATaaLtwErnr3qtWFcTmtbfpFEt5Bsqel9sXx0uE/edit?usp=sharing"",""งานกองทุน!F29"")"),1160377.84)</f>
        <v>1160377.8400000001</v>
      </c>
      <c r="K778" s="230">
        <f t="shared" ref="K778:K785" ca="1" si="465">IF(I778&gt;0,J778*100/I778,0)</f>
        <v>4.7265961309469002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IFERROR(__xludf.DUMMYFUNCTION("IMPORTRANGE(""https://docs.google.com/spreadsheets/d/10OvvATaaLtwErnr3qtWFcTmtbfpFEt5Bsqel9sXx0uE/edit?usp=sharing"",""งานกองทุน!C29"")"),729)</f>
        <v>729</v>
      </c>
      <c r="J779" s="189">
        <f ca="1">IFERROR(__xludf.DUMMYFUNCTION("IMPORTRANGE(""https://docs.google.com/spreadsheets/d/10OvvATaaLtwErnr3qtWFcTmtbfpFEt5Bsqel9sXx0uE/edit?usp=sharing"",""งานกองทุน!E29"")"),85)</f>
        <v>85</v>
      </c>
      <c r="K779" s="230">
        <f t="shared" ca="1" si="465"/>
        <v>11.659807956104252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9">
        <f ca="1">IFERROR(__xludf.DUMMYFUNCTION("IMPORTRANGE(""https://docs.google.com/spreadsheets/d/10OvvATaaLtwErnr3qtWFcTmtbfpFEt5Bsqel9sXx0uE/edit?usp=sharing"",""งานกองทุน!K29"")"),544990.91)</f>
        <v>544990.91</v>
      </c>
      <c r="K780" s="230">
        <f t="shared" ca="1" si="465"/>
        <v>2.8590678400466296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IFERROR(__xludf.DUMMYFUNCTION("IMPORTRANGE(""https://docs.google.com/spreadsheets/d/10OvvATaaLtwErnr3qtWFcTmtbfpFEt5Bsqel9sXx0uE/edit?usp=sharing"",""งานกองทุน!H29"")"),683)</f>
        <v>683</v>
      </c>
      <c r="J781" s="189">
        <f ca="1">IFERROR(__xludf.DUMMYFUNCTION("IMPORTRANGE(""https://docs.google.com/spreadsheets/d/10OvvATaaLtwErnr3qtWFcTmtbfpFEt5Bsqel9sXx0uE/edit?usp=sharing"",""งานกองทุน!J29"")"),95)</f>
        <v>95</v>
      </c>
      <c r="K781" s="230">
        <f t="shared" ca="1" si="465"/>
        <v>13.909224011713031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9">
        <f ca="1">IFERROR(__xludf.DUMMYFUNCTION("IMPORTRANGE(""https://docs.google.com/spreadsheets/d/10OvvATaaLtwErnr3qtWFcTmtbfpFEt5Bsqel9sXx0uE/edit?usp=sharing"",""งานกองทุน!P29"")"),59586.9)</f>
        <v>59586.9</v>
      </c>
      <c r="K782" s="230">
        <f t="shared" ca="1" si="465"/>
        <v>5.5523828886876974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IFERROR(__xludf.DUMMYFUNCTION("IMPORTRANGE(""https://docs.google.com/spreadsheets/d/10OvvATaaLtwErnr3qtWFcTmtbfpFEt5Bsqel9sXx0uE/edit?usp=sharing"",""งานกองทุน!M29"")"),63)</f>
        <v>63</v>
      </c>
      <c r="J783" s="189">
        <f ca="1">IFERROR(__xludf.DUMMYFUNCTION("IMPORTRANGE(""https://docs.google.com/spreadsheets/d/10OvvATaaLtwErnr3qtWFcTmtbfpFEt5Bsqel9sXx0uE/edit?usp=sharing"",""งานกองทุน!O29"")"),13)</f>
        <v>13</v>
      </c>
      <c r="K783" s="230">
        <f t="shared" ca="1" si="465"/>
        <v>20.634920634920636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9">
        <f ca="1">IFERROR(__xludf.DUMMYFUNCTION("IMPORTRANGE(""https://docs.google.com/spreadsheets/d/10OvvATaaLtwErnr3qtWFcTmtbfpFEt5Bsqel9sXx0uE/edit?usp=sharing"",""งานกองทุน!U29"")"),2240000)</f>
        <v>2240000</v>
      </c>
      <c r="K784" s="230">
        <f t="shared" ca="1" si="465"/>
        <v>14.953271028037383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IFERROR(__xludf.DUMMYFUNCTION("IMPORTRANGE(""https://docs.google.com/spreadsheets/d/10OvvATaaLtwErnr3qtWFcTmtbfpFEt5Bsqel9sXx0uE/edit?usp=sharing"",""งานกองทุน!R29"")"),535)</f>
        <v>535</v>
      </c>
      <c r="J785" s="194">
        <f ca="1">IFERROR(__xludf.DUMMYFUNCTION("IMPORTRANGE(""https://docs.google.com/spreadsheets/d/10OvvATaaLtwErnr3qtWFcTmtbfpFEt5Bsqel9sXx0uE/edit?usp=sharing"",""งานกองทุน!T29"")"),59)</f>
        <v>59</v>
      </c>
      <c r="K785" s="461">
        <f t="shared" ca="1" si="465"/>
        <v>11.028037383177571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AF98C-D0BF-45DB-BDB4-A20EA0EAE31D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332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2473480</v>
      </c>
      <c r="M19" s="474">
        <f t="shared" ca="1" si="0"/>
        <v>2492835</v>
      </c>
      <c r="N19" s="474">
        <f t="shared" ca="1" si="0"/>
        <v>1446633.74</v>
      </c>
      <c r="O19" s="474">
        <f t="shared" ref="O19:O27" ca="1" si="1">IF(L19&gt;0,N19*100/L19,0)</f>
        <v>58.485766612222456</v>
      </c>
      <c r="P19" s="474">
        <f t="shared" ref="P19:P27" ca="1" si="2">IF(M19&gt;0,N19*100/M19,0)</f>
        <v>58.031668361524126</v>
      </c>
      <c r="Q19" s="474">
        <f t="shared" ref="Q19:S19" ca="1" si="3">Q20+Q21</f>
        <v>4443314.24</v>
      </c>
      <c r="R19" s="474">
        <f t="shared" ca="1" si="3"/>
        <v>4193314</v>
      </c>
      <c r="S19" s="474">
        <f t="shared" ca="1" si="3"/>
        <v>52696.2</v>
      </c>
      <c r="T19" s="474">
        <f t="shared" ref="T19:T27" ca="1" si="4">IF(Q19&gt;0,S19*100/Q19,0)</f>
        <v>1.1859660864319153</v>
      </c>
      <c r="U19" s="474">
        <f t="shared" ref="U19:U27" ca="1" si="5">IF(R19&gt;0,S19*100/R19,0)</f>
        <v>1.2566719306019059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2473480</v>
      </c>
      <c r="M21" s="480">
        <f t="shared" ca="1" si="6"/>
        <v>2492835</v>
      </c>
      <c r="N21" s="480">
        <f t="shared" ca="1" si="6"/>
        <v>1446633.74</v>
      </c>
      <c r="O21" s="480">
        <f t="shared" ca="1" si="1"/>
        <v>58.485766612222456</v>
      </c>
      <c r="P21" s="480">
        <f t="shared" ca="1" si="2"/>
        <v>58.031668361524126</v>
      </c>
      <c r="Q21" s="480">
        <f t="shared" ca="1" si="7"/>
        <v>4443314.24</v>
      </c>
      <c r="R21" s="480">
        <f t="shared" ca="1" si="7"/>
        <v>4193314</v>
      </c>
      <c r="S21" s="480">
        <f t="shared" ca="1" si="7"/>
        <v>52696.2</v>
      </c>
      <c r="T21" s="480">
        <f t="shared" ca="1" si="4"/>
        <v>1.1859660864319153</v>
      </c>
      <c r="U21" s="480">
        <f t="shared" ca="1" si="5"/>
        <v>1.2566719306019059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2473480</v>
      </c>
      <c r="M22" s="230">
        <f t="shared" ca="1" si="8"/>
        <v>2492835</v>
      </c>
      <c r="N22" s="230">
        <f t="shared" ca="1" si="8"/>
        <v>1446633.74</v>
      </c>
      <c r="O22" s="230">
        <f t="shared" ca="1" si="1"/>
        <v>58.485766612222456</v>
      </c>
      <c r="P22" s="230">
        <f t="shared" ca="1" si="2"/>
        <v>58.031668361524126</v>
      </c>
      <c r="Q22" s="230">
        <f t="shared" ref="Q22:S22" ca="1" si="9">Q23+Q24</f>
        <v>4443314.24</v>
      </c>
      <c r="R22" s="230">
        <f t="shared" ca="1" si="9"/>
        <v>4193314</v>
      </c>
      <c r="S22" s="230">
        <f t="shared" ca="1" si="9"/>
        <v>52696.2</v>
      </c>
      <c r="T22" s="230">
        <f t="shared" ca="1" si="4"/>
        <v>1.1859660864319153</v>
      </c>
      <c r="U22" s="230">
        <f t="shared" ca="1" si="5"/>
        <v>1.2566719306019059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2473480</v>
      </c>
      <c r="M24" s="230">
        <f t="shared" ca="1" si="10"/>
        <v>2492835</v>
      </c>
      <c r="N24" s="230">
        <f t="shared" ca="1" si="10"/>
        <v>1446633.74</v>
      </c>
      <c r="O24" s="230">
        <f t="shared" ca="1" si="1"/>
        <v>58.485766612222456</v>
      </c>
      <c r="P24" s="230">
        <f t="shared" ca="1" si="2"/>
        <v>58.031668361524126</v>
      </c>
      <c r="Q24" s="230">
        <f t="shared" ca="1" si="11"/>
        <v>4443314.24</v>
      </c>
      <c r="R24" s="230">
        <f t="shared" ca="1" si="11"/>
        <v>4193314</v>
      </c>
      <c r="S24" s="230">
        <f t="shared" ca="1" si="11"/>
        <v>52696.2</v>
      </c>
      <c r="T24" s="230">
        <f t="shared" ca="1" si="4"/>
        <v>1.1859660864319153</v>
      </c>
      <c r="U24" s="230">
        <f t="shared" ca="1" si="5"/>
        <v>1.2566719306019059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2473480</v>
      </c>
      <c r="M41" s="487">
        <f t="shared" ca="1" si="16"/>
        <v>2492835</v>
      </c>
      <c r="N41" s="487">
        <f t="shared" ca="1" si="16"/>
        <v>1446633.74</v>
      </c>
      <c r="O41" s="487">
        <f ca="1">IF(L41&gt;0,N41*100/L41,0)</f>
        <v>58.485766612222456</v>
      </c>
      <c r="P41" s="487">
        <f ca="1">IF(M41&gt;0,N41*100/M41,0)</f>
        <v>58.031668361524126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535970</v>
      </c>
      <c r="M45" s="491">
        <f t="shared" ca="1" si="17"/>
        <v>549485</v>
      </c>
      <c r="N45" s="491">
        <f t="shared" ca="1" si="17"/>
        <v>377836</v>
      </c>
      <c r="O45" s="491">
        <f t="shared" ref="O45:O53" ca="1" si="18">IF(L45&gt;0,N45*100/L45,0)</f>
        <v>70.495736701681068</v>
      </c>
      <c r="P45" s="491">
        <f t="shared" ref="P45:P53" ca="1" si="19">IF(M45&gt;0,N45*100/M45,0)</f>
        <v>68.761840632592339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535970</v>
      </c>
      <c r="M47" s="497">
        <f t="shared" ca="1" si="23"/>
        <v>549485</v>
      </c>
      <c r="N47" s="497">
        <f t="shared" ca="1" si="23"/>
        <v>377836</v>
      </c>
      <c r="O47" s="497">
        <f t="shared" ca="1" si="18"/>
        <v>70.495736701681068</v>
      </c>
      <c r="P47" s="497">
        <f t="shared" ca="1" si="19"/>
        <v>68.761840632592339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535970</v>
      </c>
      <c r="M48" s="230">
        <f t="shared" ca="1" si="25"/>
        <v>549485</v>
      </c>
      <c r="N48" s="230">
        <f t="shared" ca="1" si="25"/>
        <v>377836</v>
      </c>
      <c r="O48" s="230">
        <f t="shared" ca="1" si="18"/>
        <v>70.495736701681068</v>
      </c>
      <c r="P48" s="230">
        <f t="shared" ca="1" si="19"/>
        <v>68.761840632592339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IFERROR(__xludf.DUMMYFUNCTION("IMPORTRANGE(""https://docs.google.com/spreadsheets/d/1-uDff_7J0KD5mKrp0Vvzr7lt3OU09vwQwhkpOPPYv2Y/edit?usp=sharing"",""งบพรบ!P30"")"),535970)</f>
        <v>535970</v>
      </c>
      <c r="M50" s="230">
        <f ca="1">IFERROR(__xludf.DUMMYFUNCTION("IMPORTRANGE(""https://docs.google.com/spreadsheets/d/1-uDff_7J0KD5mKrp0Vvzr7lt3OU09vwQwhkpOPPYv2Y/edit?usp=sharing"",""งบพรบ!V30"")"),549485)</f>
        <v>549485</v>
      </c>
      <c r="N50" s="230">
        <f ca="1">IFERROR(__xludf.DUMMYFUNCTION("IMPORTRANGE(""https://docs.google.com/spreadsheets/d/1-uDff_7J0KD5mKrp0Vvzr7lt3OU09vwQwhkpOPPYv2Y/edit?usp=sharing"",""งบพรบ!Y30"")"),377836)</f>
        <v>377836</v>
      </c>
      <c r="O50" s="230">
        <f t="shared" ca="1" si="18"/>
        <v>70.495736701681068</v>
      </c>
      <c r="P50" s="230">
        <f t="shared" ca="1" si="19"/>
        <v>68.761840632592339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IFERROR(__xludf.DUMMYFUNCTION("IMPORTRANGE(""https://docs.google.com/spreadsheets/d/1-uDff_7J0KD5mKrp0Vvzr7lt3OU09vwQwhkpOPPYv2Y/edit?usp=sharing"",""งบพรบ!S30"")"),0)</f>
        <v>0</v>
      </c>
      <c r="M53" s="230">
        <f ca="1">IFERROR(__xludf.DUMMYFUNCTION("IMPORTRANGE(""https://docs.google.com/spreadsheets/d/1-uDff_7J0KD5mKrp0Vvzr7lt3OU09vwQwhkpOPPYv2Y/edit?usp=sharing"",""งบพรบ!W30"")"),0)</f>
        <v>0</v>
      </c>
      <c r="N53" s="230">
        <f ca="1">IFERROR(__xludf.DUMMYFUNCTION("IMPORTRANGE(""https://docs.google.com/spreadsheets/d/1-uDff_7J0KD5mKrp0Vvzr7lt3OU09vwQwhkpOPPYv2Y/edit?usp=sharing"",""งบพรบ!Z30"")"),0)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531900</v>
      </c>
      <c r="M60" s="502">
        <f t="shared" ca="1" si="29"/>
        <v>531900</v>
      </c>
      <c r="N60" s="502">
        <f t="shared" ca="1" si="29"/>
        <v>374988.96</v>
      </c>
      <c r="O60" s="502">
        <f t="shared" ref="O60:O68" ca="1" si="30">IF(L60&gt;0,N60*100/L60,0)</f>
        <v>70.499898477157359</v>
      </c>
      <c r="P60" s="502">
        <f t="shared" ref="P60:P68" ca="1" si="31">IF(M60&gt;0,N60*100/M60,0)</f>
        <v>70.499898477157359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531900</v>
      </c>
      <c r="M62" s="508">
        <f t="shared" ca="1" si="35"/>
        <v>531900</v>
      </c>
      <c r="N62" s="508">
        <f t="shared" ca="1" si="35"/>
        <v>374988.96</v>
      </c>
      <c r="O62" s="508">
        <f t="shared" ca="1" si="30"/>
        <v>70.499898477157359</v>
      </c>
      <c r="P62" s="508">
        <f t="shared" ca="1" si="31"/>
        <v>70.499898477157359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531900</v>
      </c>
      <c r="M63" s="230">
        <f t="shared" ca="1" si="37"/>
        <v>531900</v>
      </c>
      <c r="N63" s="230">
        <f t="shared" ca="1" si="37"/>
        <v>374988.96</v>
      </c>
      <c r="O63" s="230">
        <f t="shared" ca="1" si="30"/>
        <v>70.499898477157359</v>
      </c>
      <c r="P63" s="230">
        <f t="shared" ca="1" si="31"/>
        <v>70.499898477157359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IFERROR(__xludf.DUMMYFUNCTION("IMPORTRANGE(""https://docs.google.com/spreadsheets/d/1-uDff_7J0KD5mKrp0Vvzr7lt3OU09vwQwhkpOPPYv2Y/edit?usp=sharing"",""งบพรบ!AC30"")"),531900)</f>
        <v>531900</v>
      </c>
      <c r="M65" s="230">
        <f ca="1">IFERROR(__xludf.DUMMYFUNCTION("IMPORTRANGE(""https://docs.google.com/spreadsheets/d/1-uDff_7J0KD5mKrp0Vvzr7lt3OU09vwQwhkpOPPYv2Y/edit?usp=sharing"",""งบพรบ!AH30"")"),531900)</f>
        <v>531900</v>
      </c>
      <c r="N65" s="230">
        <f ca="1">IFERROR(__xludf.DUMMYFUNCTION("IMPORTRANGE(""https://docs.google.com/spreadsheets/d/1-uDff_7J0KD5mKrp0Vvzr7lt3OU09vwQwhkpOPPYv2Y/edit?usp=sharing"",""งบพรบ!AJ30"")"),374988.96)</f>
        <v>374988.96</v>
      </c>
      <c r="O65" s="230">
        <f t="shared" ca="1" si="30"/>
        <v>70.499898477157359</v>
      </c>
      <c r="P65" s="230">
        <f t="shared" ca="1" si="31"/>
        <v>70.499898477157359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IFERROR(__xludf.DUMMYFUNCTION("IMPORTRANGE(""https://docs.google.com/spreadsheets/d/1-uDff_7J0KD5mKrp0Vvzr7lt3OU09vwQwhkpOPPYv2Y/edit?usp=sharing"",""งบพรบ!AF30"")"),0)</f>
        <v>0</v>
      </c>
      <c r="M68" s="461">
        <f ca="1">IFERROR(__xludf.DUMMYFUNCTION("IMPORTRANGE(""https://docs.google.com/spreadsheets/d/1-uDff_7J0KD5mKrp0Vvzr7lt3OU09vwQwhkpOPPYv2Y/edit?usp=sharing"",""งบพรบ!AI30"")"),0)</f>
        <v>0</v>
      </c>
      <c r="N68" s="461">
        <f ca="1">IFERROR(__xludf.DUMMYFUNCTION("IMPORTRANGE(""https://docs.google.com/spreadsheets/d/1-uDff_7J0KD5mKrp0Vvzr7lt3OU09vwQwhkpOPPYv2Y/edit?usp=sharing"",""งบพรบ!AK30"")"),0)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2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149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202000</v>
      </c>
      <c r="M73" s="515">
        <f t="shared" ca="1" si="43"/>
        <v>202000</v>
      </c>
      <c r="N73" s="515">
        <f t="shared" ca="1" si="43"/>
        <v>98439</v>
      </c>
      <c r="O73" s="515">
        <f t="shared" ref="O73:O81" ca="1" si="44">IF(L73&gt;0,N73*100/L73,0)</f>
        <v>48.732178217821783</v>
      </c>
      <c r="P73" s="515">
        <f t="shared" ref="P73:P81" ca="1" si="45">IF(M73&gt;0,N73*100/M73,0)</f>
        <v>48.732178217821783</v>
      </c>
      <c r="Q73" s="515">
        <f t="shared" ref="Q73:S73" ca="1" si="46">Q74+Q75</f>
        <v>1340480</v>
      </c>
      <c r="R73" s="515">
        <f t="shared" ca="1" si="46"/>
        <v>1340480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202000</v>
      </c>
      <c r="M75" s="230">
        <f t="shared" ca="1" si="49"/>
        <v>202000</v>
      </c>
      <c r="N75" s="230">
        <f t="shared" ca="1" si="49"/>
        <v>98439</v>
      </c>
      <c r="O75" s="230">
        <f t="shared" ca="1" si="44"/>
        <v>48.732178217821783</v>
      </c>
      <c r="P75" s="230">
        <f t="shared" ca="1" si="45"/>
        <v>48.732178217821783</v>
      </c>
      <c r="Q75" s="230">
        <f t="shared" ca="1" si="50"/>
        <v>1340480</v>
      </c>
      <c r="R75" s="230">
        <f t="shared" ca="1" si="50"/>
        <v>1340480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202000</v>
      </c>
      <c r="M76" s="230">
        <f t="shared" ca="1" si="51"/>
        <v>202000</v>
      </c>
      <c r="N76" s="230">
        <f t="shared" ca="1" si="51"/>
        <v>98439</v>
      </c>
      <c r="O76" s="230">
        <f t="shared" ca="1" si="44"/>
        <v>48.732178217821783</v>
      </c>
      <c r="P76" s="230">
        <f t="shared" ca="1" si="45"/>
        <v>48.732178217821783</v>
      </c>
      <c r="Q76" s="230">
        <f t="shared" ref="Q76:S76" ca="1" si="52">Q77+Q78</f>
        <v>1340480</v>
      </c>
      <c r="R76" s="230">
        <f t="shared" ca="1" si="52"/>
        <v>1340480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IFERROR(__xludf.DUMMYFUNCTION("IMPORTRANGE(""https://docs.google.com/spreadsheets/d/1-uDff_7J0KD5mKrp0Vvzr7lt3OU09vwQwhkpOPPYv2Y/edit?usp=sharing"",""งบพรบ!AM30"")"),202000)</f>
        <v>202000</v>
      </c>
      <c r="M78" s="230">
        <f ca="1">IFERROR(__xludf.DUMMYFUNCTION("IMPORTRANGE(""https://docs.google.com/spreadsheets/d/1-uDff_7J0KD5mKrp0Vvzr7lt3OU09vwQwhkpOPPYv2Y/edit?usp=sharing"",""งบพรบ!AR30"")"),202000)</f>
        <v>202000</v>
      </c>
      <c r="N78" s="230">
        <f ca="1">IFERROR(__xludf.DUMMYFUNCTION("IMPORTRANGE(""https://docs.google.com/spreadsheets/d/1-uDff_7J0KD5mKrp0Vvzr7lt3OU09vwQwhkpOPPYv2Y/edit?usp=sharing"",""งบพรบ!AT30"")"),98439)</f>
        <v>98439</v>
      </c>
      <c r="O78" s="230">
        <f t="shared" ca="1" si="44"/>
        <v>48.732178217821783</v>
      </c>
      <c r="P78" s="230">
        <f t="shared" ca="1" si="45"/>
        <v>48.732178217821783</v>
      </c>
      <c r="Q78" s="230">
        <f ca="1">IFERROR(__xludf.DUMMYFUNCTION("IMPORTRANGE(""https://docs.google.com/spreadsheets/d/1ItG2mGa2ceCfYo0BwxsXqNm01IGEUdYcSSLTEv9YCik/edit?usp=sharing"",""เบิกจ่ายกองทุน!AS30"")"),1340480)</f>
        <v>1340480</v>
      </c>
      <c r="R78" s="230">
        <f ca="1">IFERROR(__xludf.DUMMYFUNCTION("IMPORTRANGE(""https://docs.google.com/spreadsheets/d/1ItG2mGa2ceCfYo0BwxsXqNm01IGEUdYcSSLTEv9YCik/edit?usp=sharing"",""เบิกจ่ายกองทุน!AT30"")"),1340480)</f>
        <v>1340480</v>
      </c>
      <c r="S78" s="230">
        <f ca="1">IFERROR(__xludf.DUMMYFUNCTION("IMPORTRANGE(""https://docs.google.com/spreadsheets/d/1ItG2mGa2ceCfYo0BwxsXqNm01IGEUdYcSSLTEv9YCik/edit?usp=sharing"",""เบิกจ่ายกองทุน!AU30"")"),0)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IFERROR(__xludf.DUMMYFUNCTION("IMPORTRANGE(""https://docs.google.com/spreadsheets/d/1-uDff_7J0KD5mKrp0Vvzr7lt3OU09vwQwhkpOPPYv2Y/edit?usp=sharing"",""งบพรบ!AP30"")"),0)</f>
        <v>0</v>
      </c>
      <c r="M81" s="230">
        <f ca="1">IFERROR(__xludf.DUMMYFUNCTION("IMPORTRANGE(""https://docs.google.com/spreadsheets/d/1-uDff_7J0KD5mKrp0Vvzr7lt3OU09vwQwhkpOPPYv2Y/edit?usp=sharing"",""งบพรบ!AS30"")"),0)</f>
        <v>0</v>
      </c>
      <c r="N81" s="230">
        <f ca="1">IFERROR(__xludf.DUMMYFUNCTION("IMPORTRANGE(""https://docs.google.com/spreadsheets/d/1-uDff_7J0KD5mKrp0Vvzr7lt3OU09vwQwhkpOPPYv2Y/edit?usp=sharing"",""งบพรบ!AU30"")"),0)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2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149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IFERROR(__xludf.DUMMYFUNCTION("IMPORTRANGE(""https://docs.google.com/spreadsheets/d/1eHaY18a8A9IcSdp1K8H6x8fbOy06t2VsZHhMHf-1x7Y/edit?usp=sharing"",""แผน!H30"")"),1)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IFERROR(__xludf.DUMMYFUNCTION("IMPORTRANGE(""https://docs.google.com/spreadsheets/d/1eHaY18a8A9IcSdp1K8H6x8fbOy06t2VsZHhMHf-1x7Y/edit?usp=sharing"",""แผน!I30"")"),117)</f>
        <v>117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IFERROR(__xludf.DUMMYFUNCTION("IMPORTRANGE(""https://docs.google.com/spreadsheets/d/1eHaY18a8A9IcSdp1K8H6x8fbOy06t2VsZHhMHf-1x7Y/edit?usp=sharing"",""แผน!F30"")"),0)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IFERROR(__xludf.DUMMYFUNCTION("IMPORTRANGE(""https://docs.google.com/spreadsheets/d/1eHaY18a8A9IcSdp1K8H6x8fbOy06t2VsZHhMHf-1x7Y/edit?usp=sharing"",""แผน!G30"")"),0)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IFERROR(__xludf.DUMMYFUNCTION("IMPORTRANGE(""https://docs.google.com/spreadsheets/d/1eHaY18a8A9IcSdp1K8H6x8fbOy06t2VsZHhMHf-1x7Y/edit?usp=sharing"",""แผน!D30"")"),1)</f>
        <v>1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IFERROR(__xludf.DUMMYFUNCTION("IMPORTRANGE(""https://docs.google.com/spreadsheets/d/1eHaY18a8A9IcSdp1K8H6x8fbOy06t2VsZHhMHf-1x7Y/edit?usp=sharing"",""แผน!E30"")"),32)</f>
        <v>32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IFERROR(__xludf.DUMMYFUNCTION("IMPORTRANGE(""https://docs.google.com/spreadsheets/d/1eHaY18a8A9IcSdp1K8H6x8fbOy06t2VsZHhMHf-1x7Y/edit?usp=sharing"",""แผน!J30"")"),2)</f>
        <v>2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IFERROR(__xludf.DUMMYFUNCTION("IMPORTRANGE(""https://docs.google.com/spreadsheets/d/1-uDff_7J0KD5mKrp0Vvzr7lt3OU09vwQwhkpOPPYv2Y/edit?usp=sharing"",""งบพรบ!AW30"")"),0)</f>
        <v>0</v>
      </c>
      <c r="M100" s="230">
        <f ca="1">IFERROR(__xludf.DUMMYFUNCTION("IMPORTRANGE(""https://docs.google.com/spreadsheets/d/1-uDff_7J0KD5mKrp0Vvzr7lt3OU09vwQwhkpOPPYv2Y/edit?usp=sharing"",""งบพรบ!BB30"")"),0)</f>
        <v>0</v>
      </c>
      <c r="N100" s="230">
        <f ca="1">IFERROR(__xludf.DUMMYFUNCTION("IMPORTRANGE(""https://docs.google.com/spreadsheets/d/1-uDff_7J0KD5mKrp0Vvzr7lt3OU09vwQwhkpOPPYv2Y/edit?usp=sharing"",""งบพรบ!BD30"")"),0)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IFERROR(__xludf.DUMMYFUNCTION("IMPORTRANGE(""https://docs.google.com/spreadsheets/d/1ItG2mGa2ceCfYo0BwxsXqNm01IGEUdYcSSLTEv9YCik/edit?usp=sharing"",""เบิกจ่ายกองทุน!AD30"")"),0)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IFERROR(__xludf.DUMMYFUNCTION("IMPORTRANGE(""https://docs.google.com/spreadsheets/d/1ItG2mGa2ceCfYo0BwxsXqNm01IGEUdYcSSLTEv9YCik/edit?usp=sharing"",""เบิกจ่ายกองทุน!AE30"")"),0)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IFERROR(__xludf.DUMMYFUNCTION("IMPORTRANGE(""https://docs.google.com/spreadsheets/d/1ItG2mGa2ceCfYo0BwxsXqNm01IGEUdYcSSLTEv9YCik/edit?usp=sharing"",""เบิกจ่ายกองทุน!AF30"")"),0)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IFERROR(__xludf.DUMMYFUNCTION("IMPORTRANGE(""https://docs.google.com/spreadsheets/d/1-uDff_7J0KD5mKrp0Vvzr7lt3OU09vwQwhkpOPPYv2Y/edit?usp=sharing"",""งบพรบ!AZ30"")"),0)</f>
        <v>0</v>
      </c>
      <c r="M103" s="230">
        <f ca="1">IFERROR(__xludf.DUMMYFUNCTION("IMPORTRANGE(""https://docs.google.com/spreadsheets/d/1-uDff_7J0KD5mKrp0Vvzr7lt3OU09vwQwhkpOPPYv2Y/edit?usp=sharing"",""งบพรบ!BC30"")"),0)</f>
        <v>0</v>
      </c>
      <c r="N103" s="230">
        <f ca="1">IFERROR(__xludf.DUMMYFUNCTION("IMPORTRANGE(""https://docs.google.com/spreadsheets/d/1-uDff_7J0KD5mKrp0Vvzr7lt3OU09vwQwhkpOPPYv2Y/edit?usp=sharing"",""งบพรบ!BE30"")"),0)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IFERROR(__xludf.DUMMYFUNCTION("IMPORTRANGE(""https://docs.google.com/spreadsheets/d/1eHaY18a8A9IcSdp1K8H6x8fbOy06t2VsZHhMHf-1x7Y/edit?usp=sharing"",""แผน!N30"")"),0)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IFERROR(__xludf.DUMMYFUNCTION("IMPORTRANGE(""https://docs.google.com/spreadsheets/d/1eHaY18a8A9IcSdp1K8H6x8fbOy06t2VsZHhMHf-1x7Y/edit?usp=sharing"",""แผน!O30"")"),0)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IFERROR(__xludf.DUMMYFUNCTION("IMPORTRANGE(""https://docs.google.com/spreadsheets/d/1eHaY18a8A9IcSdp1K8H6x8fbOy06t2VsZHhMHf-1x7Y/edit?usp=sharing"",""แผน!R30"")"),0)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20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209360</v>
      </c>
      <c r="R118" s="515">
        <f t="shared" ca="1" si="76"/>
        <v>209360</v>
      </c>
      <c r="S118" s="515">
        <f t="shared" ca="1" si="76"/>
        <v>6000</v>
      </c>
      <c r="T118" s="515">
        <f t="shared" ref="T118:T126" ca="1" si="77">IF(Q118&gt;0,S118*100/Q118,0)</f>
        <v>2.8658769583492547</v>
      </c>
      <c r="U118" s="515">
        <f t="shared" ref="U118:U126" ca="1" si="78">IF(R118&gt;0,S118*100/R118,0)</f>
        <v>2.8658769583492547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209360</v>
      </c>
      <c r="R120" s="230">
        <f t="shared" ca="1" si="80"/>
        <v>209360</v>
      </c>
      <c r="S120" s="230">
        <f t="shared" ca="1" si="80"/>
        <v>6000</v>
      </c>
      <c r="T120" s="230">
        <f t="shared" ca="1" si="77"/>
        <v>2.8658769583492547</v>
      </c>
      <c r="U120" s="230">
        <f t="shared" ca="1" si="78"/>
        <v>2.8658769583492547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209360</v>
      </c>
      <c r="R121" s="230">
        <f t="shared" ca="1" si="82"/>
        <v>209360</v>
      </c>
      <c r="S121" s="230">
        <f t="shared" ca="1" si="82"/>
        <v>6000</v>
      </c>
      <c r="T121" s="230">
        <f t="shared" ca="1" si="77"/>
        <v>2.8658769583492547</v>
      </c>
      <c r="U121" s="230">
        <f t="shared" ca="1" si="78"/>
        <v>2.8658769583492547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IFERROR(__xludf.DUMMYFUNCTION("IMPORTRANGE(""https://docs.google.com/spreadsheets/d/1-uDff_7J0KD5mKrp0Vvzr7lt3OU09vwQwhkpOPPYv2Y/edit?usp=sharing"",""งบพรบ!BG30"")"),0)</f>
        <v>0</v>
      </c>
      <c r="M123" s="230">
        <f ca="1">IFERROR(__xludf.DUMMYFUNCTION("IMPORTRANGE(""https://docs.google.com/spreadsheets/d/1-uDff_7J0KD5mKrp0Vvzr7lt3OU09vwQwhkpOPPYv2Y/edit?usp=sharing"",""งบพรบ!BL30"")"),0)</f>
        <v>0</v>
      </c>
      <c r="N123" s="230">
        <f ca="1">IFERROR(__xludf.DUMMYFUNCTION("IMPORTRANGE(""https://docs.google.com/spreadsheets/d/1-uDff_7J0KD5mKrp0Vvzr7lt3OU09vwQwhkpOPPYv2Y/edit?usp=sharing"",""งบพรบ!BN30"")"),0)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IFERROR(__xludf.DUMMYFUNCTION("IMPORTRANGE(""https://docs.google.com/spreadsheets/d/1ItG2mGa2ceCfYo0BwxsXqNm01IGEUdYcSSLTEv9YCik/edit?usp=sharing"",""เบิกจ่ายกองทุน!R30"")"),209360)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IFERROR(__xludf.DUMMYFUNCTION("IMPORTRANGE(""https://docs.google.com/spreadsheets/d/1ItG2mGa2ceCfYo0BwxsXqNm01IGEUdYcSSLTEv9YCik/edit?usp=sharing"",""เบิกจ่ายกองทุน!S30"")"),209360)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IFERROR(__xludf.DUMMYFUNCTION("IMPORTRANGE(""https://docs.google.com/spreadsheets/d/1ItG2mGa2ceCfYo0BwxsXqNm01IGEUdYcSSLTEv9YCik/edit?usp=sharing"",""เบิกจ่ายกองทุน!T30"")"),6000)</f>
        <v>6000</v>
      </c>
      <c r="T123" s="230">
        <f t="shared" ca="1" si="77"/>
        <v>2.8658769583492547</v>
      </c>
      <c r="U123" s="230">
        <f t="shared" ca="1" si="78"/>
        <v>2.8658769583492547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IFERROR(__xludf.DUMMYFUNCTION("IMPORTRANGE(""https://docs.google.com/spreadsheets/d/1-uDff_7J0KD5mKrp0Vvzr7lt3OU09vwQwhkpOPPYv2Y/edit?usp=sharing"",""งบพรบ!BJ30"")"),0)</f>
        <v>0</v>
      </c>
      <c r="M126" s="230">
        <f ca="1">IFERROR(__xludf.DUMMYFUNCTION("IMPORTRANGE(""https://docs.google.com/spreadsheets/d/1-uDff_7J0KD5mKrp0Vvzr7lt3OU09vwQwhkpOPPYv2Y/edit?usp=sharing"",""งบพรบ!BM30"")"),0)</f>
        <v>0</v>
      </c>
      <c r="N126" s="230">
        <f ca="1">IFERROR(__xludf.DUMMYFUNCTION("IMPORTRANGE(""https://docs.google.com/spreadsheets/d/1-uDff_7J0KD5mKrp0Vvzr7lt3OU09vwQwhkpOPPYv2Y/edit?usp=sharing"",""งบพรบ!BO30"")"),0)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IFERROR(__xludf.DUMMYFUNCTION("IMPORTRANGE(""https://docs.google.com/spreadsheets/d/1eHaY18a8A9IcSdp1K8H6x8fbOy06t2VsZHhMHf-1x7Y/edit?usp=sharing"",""แผน!FF30"")"),20)</f>
        <v>20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IFERROR(__xludf.DUMMYFUNCTION("IMPORTRANGE(""https://docs.google.com/spreadsheets/d/1eHaY18a8A9IcSdp1K8H6x8fbOy06t2VsZHhMHf-1x7Y/edit?usp=sharing"",""แผน!FG30"")"),0)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IFERROR(__xludf.DUMMYFUNCTION("IMPORTRANGE(""https://docs.google.com/spreadsheets/d/1eHaY18a8A9IcSdp1K8H6x8fbOy06t2VsZHhMHf-1x7Y/edit?usp=sharing"",""แผน!FH30"")"),20)</f>
        <v>20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IFERROR(__xludf.DUMMYFUNCTION("IMPORTRANGE(""https://docs.google.com/spreadsheets/d/1eHaY18a8A9IcSdp1K8H6x8fbOy06t2VsZHhMHf-1x7Y/edit?usp=sharing"",""แผน!FI30"")"),0)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2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40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4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153900</v>
      </c>
      <c r="M140" s="515">
        <f t="shared" ca="1" si="89"/>
        <v>148900</v>
      </c>
      <c r="N140" s="515">
        <f t="shared" ca="1" si="89"/>
        <v>64331.9</v>
      </c>
      <c r="O140" s="515">
        <f t="shared" ref="O140:O148" ca="1" si="90">IF(L140&gt;0,N140*100/L140,0)</f>
        <v>41.801104613385313</v>
      </c>
      <c r="P140" s="515">
        <f t="shared" ref="P140:P148" ca="1" si="91">IF(M140&gt;0,N140*100/M140,0)</f>
        <v>43.20476830087307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153900</v>
      </c>
      <c r="M142" s="230">
        <f t="shared" ca="1" si="95"/>
        <v>148900</v>
      </c>
      <c r="N142" s="230">
        <f t="shared" ca="1" si="95"/>
        <v>64331.9</v>
      </c>
      <c r="O142" s="230">
        <f t="shared" ca="1" si="90"/>
        <v>41.801104613385313</v>
      </c>
      <c r="P142" s="230">
        <f t="shared" ca="1" si="91"/>
        <v>43.20476830087307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153900</v>
      </c>
      <c r="M143" s="230">
        <f t="shared" ca="1" si="97"/>
        <v>148900</v>
      </c>
      <c r="N143" s="230">
        <f t="shared" ca="1" si="97"/>
        <v>64331.9</v>
      </c>
      <c r="O143" s="230">
        <f t="shared" ca="1" si="90"/>
        <v>41.801104613385313</v>
      </c>
      <c r="P143" s="230">
        <f t="shared" ca="1" si="91"/>
        <v>43.20476830087307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IFERROR(__xludf.DUMMYFUNCTION("IMPORTRANGE(""https://docs.google.com/spreadsheets/d/1-uDff_7J0KD5mKrp0Vvzr7lt3OU09vwQwhkpOPPYv2Y/edit?usp=sharing"",""งบพรบ!BQ30"")"),153900)</f>
        <v>153900</v>
      </c>
      <c r="M145" s="230">
        <f ca="1">IFERROR(__xludf.DUMMYFUNCTION("IMPORTRANGE(""https://docs.google.com/spreadsheets/d/1-uDff_7J0KD5mKrp0Vvzr7lt3OU09vwQwhkpOPPYv2Y/edit?usp=sharing"",""งบพรบ!BV30"")"),148900)</f>
        <v>148900</v>
      </c>
      <c r="N145" s="230">
        <f ca="1">IFERROR(__xludf.DUMMYFUNCTION("IMPORTRANGE(""https://docs.google.com/spreadsheets/d/1-uDff_7J0KD5mKrp0Vvzr7lt3OU09vwQwhkpOPPYv2Y/edit?usp=sharing"",""งบพรบ!BX30"")"),64331.9)</f>
        <v>64331.9</v>
      </c>
      <c r="O145" s="230">
        <f t="shared" ca="1" si="90"/>
        <v>41.801104613385313</v>
      </c>
      <c r="P145" s="230">
        <f t="shared" ca="1" si="91"/>
        <v>43.20476830087307</v>
      </c>
      <c r="Q145" s="230">
        <f ca="1">IFERROR(__xludf.DUMMYFUNCTION("IMPORTRANGE(""https://docs.google.com/spreadsheets/d/1ItG2mGa2ceCfYo0BwxsXqNm01IGEUdYcSSLTEv9YCik/edit?usp=sharing"",""เบิกจ่ายกองทุน!BB30"")"),0)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IFERROR(__xludf.DUMMYFUNCTION("IMPORTRANGE(""https://docs.google.com/spreadsheets/d/1ItG2mGa2ceCfYo0BwxsXqNm01IGEUdYcSSLTEv9YCik/edit?usp=sharing"",""เบิกจ่ายกองทุน!BC30"")"),0)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IFERROR(__xludf.DUMMYFUNCTION("IMPORTRANGE(""https://docs.google.com/spreadsheets/d/1ItG2mGa2ceCfYo0BwxsXqNm01IGEUdYcSSLTEv9YCik/edit?usp=sharing"",""เบิกจ่ายกองทุน!BD30"")"),0)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IFERROR(__xludf.DUMMYFUNCTION("IMPORTRANGE(""https://docs.google.com/spreadsheets/d/1-uDff_7J0KD5mKrp0Vvzr7lt3OU09vwQwhkpOPPYv2Y/edit?usp=sharing"",""งบพรบ!BT30"")"),0)</f>
        <v>0</v>
      </c>
      <c r="M148" s="230">
        <f ca="1">IFERROR(__xludf.DUMMYFUNCTION("IMPORTRANGE(""https://docs.google.com/spreadsheets/d/1-uDff_7J0KD5mKrp0Vvzr7lt3OU09vwQwhkpOPPYv2Y/edit?usp=sharing"",""งบพรบ!BW30"")"),0)</f>
        <v>0</v>
      </c>
      <c r="N148" s="230">
        <f ca="1">IFERROR(__xludf.DUMMYFUNCTION("IMPORTRANGE(""https://docs.google.com/spreadsheets/d/1-uDff_7J0KD5mKrp0Vvzr7lt3OU09vwQwhkpOPPYv2Y/edit?usp=sharing"",""งบพรบ!BY30"")"),0)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IFERROR(__xludf.DUMMYFUNCTION("IMPORTRANGE(""https://docs.google.com/spreadsheets/d/1eHaY18a8A9IcSdp1K8H6x8fbOy06t2VsZHhMHf-1x7Y/edit?usp=sharing"",""แผน!U30"")"),20)</f>
        <v>20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IFERROR(__xludf.DUMMYFUNCTION("IMPORTRANGE(""https://docs.google.com/spreadsheets/d/1eHaY18a8A9IcSdp1K8H6x8fbOy06t2VsZHhMHf-1x7Y/edit?usp=sharing"",""แผน!V30"")"),2)</f>
        <v>2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IFERROR(__xludf.DUMMYFUNCTION("IMPORTRANGE(""https://docs.google.com/spreadsheets/d/1eHaY18a8A9IcSdp1K8H6x8fbOy06t2VsZHhMHf-1x7Y/edit?usp=sharing"",""แผน!W30"")"),40)</f>
        <v>40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IFERROR(__xludf.DUMMYFUNCTION("IMPORTRANGE(""https://docs.google.com/spreadsheets/d/1eHaY18a8A9IcSdp1K8H6x8fbOy06t2VsZHhMHf-1x7Y/edit?usp=sharing"",""แผน!X30"")"),4)</f>
        <v>4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IFERROR(__xludf.DUMMYFUNCTION("IMPORTRANGE(""https://docs.google.com/spreadsheets/d/1eHaY18a8A9IcSdp1K8H6x8fbOy06t2VsZHhMHf-1x7Y/edit?usp=sharing"",""แผน!Y30"")"),2)</f>
        <v>2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I168</f>
        <v>10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3000</v>
      </c>
      <c r="M158" s="515">
        <f t="shared" ca="1" si="103"/>
        <v>2250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3000</v>
      </c>
      <c r="M160" s="230">
        <f t="shared" ca="1" si="109"/>
        <v>2250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3000</v>
      </c>
      <c r="M161" s="230">
        <f t="shared" ca="1" si="111"/>
        <v>2250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IFERROR(__xludf.DUMMYFUNCTION("IMPORTRANGE(""https://docs.google.com/spreadsheets/d/1-uDff_7J0KD5mKrp0Vvzr7lt3OU09vwQwhkpOPPYv2Y/edit?usp=sharing"",""งบพรบ!CA30"")"),3000)</f>
        <v>3000</v>
      </c>
      <c r="M163" s="230">
        <f ca="1">IFERROR(__xludf.DUMMYFUNCTION("IMPORTRANGE(""https://docs.google.com/spreadsheets/d/1-uDff_7J0KD5mKrp0Vvzr7lt3OU09vwQwhkpOPPYv2Y/edit?usp=sharing"",""งบพรบ!CF30"")"),2250)</f>
        <v>2250</v>
      </c>
      <c r="N163" s="230">
        <f ca="1">IFERROR(__xludf.DUMMYFUNCTION("IMPORTRANGE(""https://docs.google.com/spreadsheets/d/1-uDff_7J0KD5mKrp0Vvzr7lt3OU09vwQwhkpOPPYv2Y/edit?usp=sharing"",""งบพรบ!CH30"")"),0)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IFERROR(__xludf.DUMMYFUNCTION("IMPORTRANGE(""https://docs.google.com/spreadsheets/d/1ItG2mGa2ceCfYo0BwxsXqNm01IGEUdYcSSLTEv9YCik/edit?usp=sharing"",""เบิกจ่ายกองทุน!AG30"")"),0)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IFERROR(__xludf.DUMMYFUNCTION("IMPORTRANGE(""https://docs.google.com/spreadsheets/d/1ItG2mGa2ceCfYo0BwxsXqNm01IGEUdYcSSLTEv9YCik/edit?usp=sharing"",""เบิกจ่ายกองทุน!AH30"")"),0)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IFERROR(__xludf.DUMMYFUNCTION("IMPORTRANGE(""https://docs.google.com/spreadsheets/d/1ItG2mGa2ceCfYo0BwxsXqNm01IGEUdYcSSLTEv9YCik/edit?usp=sharing"",""เบิกจ่ายกองทุน!AI30"")"),0)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IFERROR(__xludf.DUMMYFUNCTION("IMPORTRANGE(""https://docs.google.com/spreadsheets/d/1-uDff_7J0KD5mKrp0Vvzr7lt3OU09vwQwhkpOPPYv2Y/edit?usp=sharing"",""งบพรบ!CD30"")"),0)</f>
        <v>0</v>
      </c>
      <c r="M166" s="230">
        <f ca="1">IFERROR(__xludf.DUMMYFUNCTION("IMPORTRANGE(""https://docs.google.com/spreadsheets/d/1-uDff_7J0KD5mKrp0Vvzr7lt3OU09vwQwhkpOPPYv2Y/edit?usp=sharing"",""งบพรบ!CG30"")"),0)</f>
        <v>0</v>
      </c>
      <c r="N166" s="230">
        <f ca="1">IFERROR(__xludf.DUMMYFUNCTION("IMPORTRANGE(""https://docs.google.com/spreadsheets/d/1-uDff_7J0KD5mKrp0Vvzr7lt3OU09vwQwhkpOPPYv2Y/edit?usp=sharing"",""งบพรบ!CI30"")"),0)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IFERROR(__xludf.DUMMYFUNCTION("IMPORTRANGE(""https://docs.google.com/spreadsheets/d/1eHaY18a8A9IcSdp1K8H6x8fbOy06t2VsZHhMHf-1x7Y/edit?usp=sharing"",""แผน!Z30"")"),10)</f>
        <v>10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33520</v>
      </c>
      <c r="N174" s="515">
        <f t="shared" ca="1" si="117"/>
        <v>19285</v>
      </c>
      <c r="O174" s="515">
        <f t="shared" ref="O174:O182" ca="1" si="118">IF(L174&gt;0,N174*100/L174,0)</f>
        <v>98.443083205717201</v>
      </c>
      <c r="P174" s="515">
        <f t="shared" ref="P174:P182" ca="1" si="119">IF(M174&gt;0,N174*100/M174,0)</f>
        <v>57.532816229116946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33520</v>
      </c>
      <c r="N176" s="230">
        <f t="shared" ca="1" si="123"/>
        <v>19285</v>
      </c>
      <c r="O176" s="230">
        <f t="shared" ca="1" si="118"/>
        <v>98.443083205717201</v>
      </c>
      <c r="P176" s="230">
        <f t="shared" ca="1" si="119"/>
        <v>57.532816229116946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33520</v>
      </c>
      <c r="N177" s="230">
        <f t="shared" ca="1" si="125"/>
        <v>19285</v>
      </c>
      <c r="O177" s="230">
        <f t="shared" ca="1" si="118"/>
        <v>98.443083205717201</v>
      </c>
      <c r="P177" s="230">
        <f t="shared" ca="1" si="119"/>
        <v>57.532816229116946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IFERROR(__xludf.DUMMYFUNCTION("IMPORTRANGE(""https://docs.google.com/spreadsheets/d/1-uDff_7J0KD5mKrp0Vvzr7lt3OU09vwQwhkpOPPYv2Y/edit?usp=sharing"",""งบพรบ!CK30"")"),19590)</f>
        <v>19590</v>
      </c>
      <c r="M179" s="230">
        <f ca="1">IFERROR(__xludf.DUMMYFUNCTION("IMPORTRANGE(""https://docs.google.com/spreadsheets/d/1-uDff_7J0KD5mKrp0Vvzr7lt3OU09vwQwhkpOPPYv2Y/edit?usp=sharing"",""งบพรบ!CP30"")"),33520)</f>
        <v>33520</v>
      </c>
      <c r="N179" s="230">
        <f ca="1">IFERROR(__xludf.DUMMYFUNCTION("IMPORTRANGE(""https://docs.google.com/spreadsheets/d/1-uDff_7J0KD5mKrp0Vvzr7lt3OU09vwQwhkpOPPYv2Y/edit?usp=sharing"",""งบพรบ!CR30"")"),19285)</f>
        <v>19285</v>
      </c>
      <c r="O179" s="230">
        <f t="shared" ca="1" si="118"/>
        <v>98.443083205717201</v>
      </c>
      <c r="P179" s="230">
        <f t="shared" ca="1" si="119"/>
        <v>57.532816229116946</v>
      </c>
      <c r="Q179" s="230">
        <f ca="1">IFERROR(__xludf.DUMMYFUNCTION("IMPORTRANGE(""https://docs.google.com/spreadsheets/d/1ItG2mGa2ceCfYo0BwxsXqNm01IGEUdYcSSLTEv9YCik/edit?usp=sharing"",""เบิกจ่ายกองทุน!BE30"")"),0)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IFERROR(__xludf.DUMMYFUNCTION("IMPORTRANGE(""https://docs.google.com/spreadsheets/d/1ItG2mGa2ceCfYo0BwxsXqNm01IGEUdYcSSLTEv9YCik/edit?usp=sharing"",""เบิกจ่ายกองทุน!BF30"")"),0)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IFERROR(__xludf.DUMMYFUNCTION("IMPORTRANGE(""https://docs.google.com/spreadsheets/d/1ItG2mGa2ceCfYo0BwxsXqNm01IGEUdYcSSLTEv9YCik/edit?usp=sharing"",""เบิกจ่ายกองทุน!BG30"")"),0)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IFERROR(__xludf.DUMMYFUNCTION("IMPORTRANGE(""https://docs.google.com/spreadsheets/d/1-uDff_7J0KD5mKrp0Vvzr7lt3OU09vwQwhkpOPPYv2Y/edit?usp=sharing"",""งบพรบ!CN30"")"),0)</f>
        <v>0</v>
      </c>
      <c r="M182" s="230">
        <f ca="1">IFERROR(__xludf.DUMMYFUNCTION("IMPORTRANGE(""https://docs.google.com/spreadsheets/d/1-uDff_7J0KD5mKrp0Vvzr7lt3OU09vwQwhkpOPPYv2Y/edit?usp=sharing"",""งบพรบ!CQ30"")"),0)</f>
        <v>0</v>
      </c>
      <c r="N182" s="230">
        <f ca="1">IFERROR(__xludf.DUMMYFUNCTION("IMPORTRANGE(""https://docs.google.com/spreadsheets/d/1-uDff_7J0KD5mKrp0Vvzr7lt3OU09vwQwhkpOPPYv2Y/edit?usp=sharing"",""งบพรบ!CS30"")"),0)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IFERROR(__xludf.DUMMYFUNCTION("IMPORTRANGE(""https://docs.google.com/spreadsheets/d/1eHaY18a8A9IcSdp1K8H6x8fbOy06t2VsZHhMHf-1x7Y/edit?usp=sharing"",""แผน!AA30"")"),7)</f>
        <v>7</v>
      </c>
      <c r="J184" s="520">
        <v>7</v>
      </c>
      <c r="K184" s="230">
        <f t="shared" ref="K184:K186" ca="1" si="129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40500</v>
      </c>
      <c r="M187" s="515">
        <f t="shared" ca="1" si="131"/>
        <v>28160</v>
      </c>
      <c r="N187" s="515">
        <f t="shared" ca="1" si="131"/>
        <v>5674.88</v>
      </c>
      <c r="O187" s="515">
        <f t="shared" ref="O187:O195" ca="1" si="132">IF(L187&gt;0,N187*100/L187,0)</f>
        <v>14.01204938271605</v>
      </c>
      <c r="P187" s="515">
        <f t="shared" ref="P187:P195" ca="1" si="133">IF(M187&gt;0,N187*100/M187,0)</f>
        <v>20.152272727272727</v>
      </c>
      <c r="Q187" s="515">
        <f t="shared" ref="Q187:S187" ca="1" si="134">Q188+Q189</f>
        <v>42000</v>
      </c>
      <c r="R187" s="515">
        <f t="shared" ca="1" si="134"/>
        <v>42000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40500</v>
      </c>
      <c r="M189" s="230">
        <f t="shared" ca="1" si="137"/>
        <v>28160</v>
      </c>
      <c r="N189" s="230">
        <f t="shared" ca="1" si="137"/>
        <v>5674.88</v>
      </c>
      <c r="O189" s="230">
        <f t="shared" ca="1" si="132"/>
        <v>14.01204938271605</v>
      </c>
      <c r="P189" s="230">
        <f t="shared" ca="1" si="133"/>
        <v>20.152272727272727</v>
      </c>
      <c r="Q189" s="230">
        <f t="shared" ca="1" si="138"/>
        <v>42000</v>
      </c>
      <c r="R189" s="230">
        <f t="shared" ca="1" si="138"/>
        <v>42000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40500</v>
      </c>
      <c r="M190" s="230">
        <f t="shared" ca="1" si="139"/>
        <v>28160</v>
      </c>
      <c r="N190" s="230">
        <f t="shared" ca="1" si="139"/>
        <v>5674.88</v>
      </c>
      <c r="O190" s="230">
        <f t="shared" ca="1" si="132"/>
        <v>14.01204938271605</v>
      </c>
      <c r="P190" s="230">
        <f t="shared" ca="1" si="133"/>
        <v>20.152272727272727</v>
      </c>
      <c r="Q190" s="230">
        <f t="shared" ref="Q190:S190" ca="1" si="140">Q191+Q192</f>
        <v>42000</v>
      </c>
      <c r="R190" s="230">
        <f t="shared" ca="1" si="140"/>
        <v>42000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IFERROR(__xludf.DUMMYFUNCTION("IMPORTRANGE(""https://docs.google.com/spreadsheets/d/1-uDff_7J0KD5mKrp0Vvzr7lt3OU09vwQwhkpOPPYv2Y/edit?usp=sharing"",""งบพรบ!CU30"")"),40500)</f>
        <v>40500</v>
      </c>
      <c r="M192" s="230">
        <f ca="1">IFERROR(__xludf.DUMMYFUNCTION("IMPORTRANGE(""https://docs.google.com/spreadsheets/d/1-uDff_7J0KD5mKrp0Vvzr7lt3OU09vwQwhkpOPPYv2Y/edit?usp=sharing"",""งบพรบ!CZ30"")"),28160)</f>
        <v>28160</v>
      </c>
      <c r="N192" s="230">
        <f ca="1">IFERROR(__xludf.DUMMYFUNCTION("IMPORTRANGE(""https://docs.google.com/spreadsheets/d/1-uDff_7J0KD5mKrp0Vvzr7lt3OU09vwQwhkpOPPYv2Y/edit?usp=sharing"",""งบพรบ!DB30"")"),5674.88)</f>
        <v>5674.88</v>
      </c>
      <c r="O192" s="230">
        <f t="shared" ca="1" si="132"/>
        <v>14.01204938271605</v>
      </c>
      <c r="P192" s="230">
        <f t="shared" ca="1" si="133"/>
        <v>20.152272727272727</v>
      </c>
      <c r="Q192" s="230">
        <f ca="1">IFERROR(__xludf.DUMMYFUNCTION("IMPORTRANGE(""https://docs.google.com/spreadsheets/d/1ItG2mGa2ceCfYo0BwxsXqNm01IGEUdYcSSLTEv9YCik/edit?usp=sharing"",""เบิกจ่ายกองทุน!AV30"")"),42000)</f>
        <v>42000</v>
      </c>
      <c r="R192" s="230">
        <f ca="1">IFERROR(__xludf.DUMMYFUNCTION("IMPORTRANGE(""https://docs.google.com/spreadsheets/d/1ItG2mGa2ceCfYo0BwxsXqNm01IGEUdYcSSLTEv9YCik/edit?usp=sharing"",""เบิกจ่ายกองทุน!AW30"")"),42000)</f>
        <v>42000</v>
      </c>
      <c r="S192" s="230">
        <f ca="1">IFERROR(__xludf.DUMMYFUNCTION("IMPORTRANGE(""https://docs.google.com/spreadsheets/d/1ItG2mGa2ceCfYo0BwxsXqNm01IGEUdYcSSLTEv9YCik/edit?usp=sharing"",""เบิกจ่ายกองทุน!AX30"")"),0)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IFERROR(__xludf.DUMMYFUNCTION("IMPORTRANGE(""https://docs.google.com/spreadsheets/d/1-uDff_7J0KD5mKrp0Vvzr7lt3OU09vwQwhkpOPPYv2Y/edit?usp=sharing"",""งบพรบ!CX30"")"),0)</f>
        <v>0</v>
      </c>
      <c r="M195" s="230">
        <f ca="1">IFERROR(__xludf.DUMMYFUNCTION("IMPORTRANGE(""https://docs.google.com/spreadsheets/d/1-uDff_7J0KD5mKrp0Vvzr7lt3OU09vwQwhkpOPPYv2Y/edit?usp=sharing"",""งบพรบ!DA30"")"),0)</f>
        <v>0</v>
      </c>
      <c r="N195" s="230">
        <f ca="1">IFERROR(__xludf.DUMMYFUNCTION("IMPORTRANGE(""https://docs.google.com/spreadsheets/d/1-uDff_7J0KD5mKrp0Vvzr7lt3OU09vwQwhkpOPPYv2Y/edit?usp=sharing"",""งบพรบ!DC30"")"),0)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IFERROR(__xludf.DUMMYFUNCTION("IMPORTRANGE(""https://docs.google.com/spreadsheets/d/1eHaY18a8A9IcSdp1K8H6x8fbOy06t2VsZHhMHf-1x7Y/edit?usp=sharing"",""แผน!AB30"")"),6000)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IFERROR(__xludf.DUMMYFUNCTION("IMPORTRANGE(""https://docs.google.com/spreadsheets/d/1eHaY18a8A9IcSdp1K8H6x8fbOy06t2VsZHhMHf-1x7Y/edit?usp=sharing"",""แผน!AE30"")"),4)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2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26000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IFERROR(__xludf.DUMMYFUNCTION("IMPORTRANGE(""https://docs.google.com/spreadsheets/d/1eHaY18a8A9IcSdp1K8H6x8fbOy06t2VsZHhMHf-1x7Y/edit?usp=sharing"",""แผน!AG30"")"),2000)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IFERROR(__xludf.DUMMYFUNCTION("IMPORTRANGE(""https://docs.google.com/spreadsheets/d/1eHaY18a8A9IcSdp1K8H6x8fbOy06t2VsZHhMHf-1x7Y/edit?usp=sharing"",""แผน!AH30"")"),0)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IFERROR(__xludf.DUMMYFUNCTION("IMPORTRANGE(""https://docs.google.com/spreadsheets/d/1eHaY18a8A9IcSdp1K8H6x8fbOy06t2VsZHhMHf-1x7Y/edit?usp=sharing"",""แผน!AI30"")"),16000)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IFERROR(__xludf.DUMMYFUNCTION("IMPORTRANGE(""https://docs.google.com/spreadsheets/d/1eHaY18a8A9IcSdp1K8H6x8fbOy06t2VsZHhMHf-1x7Y/edit?usp=sharing"",""แผน!AJ30"")"),8000)</f>
        <v>8000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IFERROR(__xludf.DUMMYFUNCTION("IMPORTRANGE(""https://docs.google.com/spreadsheets/d/1eHaY18a8A9IcSdp1K8H6x8fbOy06t2VsZHhMHf-1x7Y/edit?usp=sharing"",""แผน!AK30"")"),2)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IFERROR(__xludf.DUMMYFUNCTION("IMPORTRANGE(""https://docs.google.com/spreadsheets/d/1eHaY18a8A9IcSdp1K8H6x8fbOy06t2VsZHhMHf-1x7Y/edit?usp=sharing"",""แผน!JX30"")"),2)</f>
        <v>2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IFERROR(__xludf.DUMMYFUNCTION("IMPORTRANGE(""https://docs.google.com/spreadsheets/d/1eHaY18a8A9IcSdp1K8H6x8fbOy06t2VsZHhMHf-1x7Y/edit?usp=sharing"",""แผน!JY30"")"),0)</f>
        <v>0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IFERROR(__xludf.DUMMYFUNCTION("IMPORTRANGE(""https://docs.google.com/spreadsheets/d/1eHaY18a8A9IcSdp1K8H6x8fbOy06t2VsZHhMHf-1x7Y/edit?usp=sharing"",""แผน!AM30"")"),0)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IFERROR(__xludf.DUMMYFUNCTION("IMPORTRANGE(""https://docs.google.com/spreadsheets/d/1eHaY18a8A9IcSdp1K8H6x8fbOy06t2VsZHhMHf-1x7Y/edit?usp=sharing"",""แผน!AN30"")"),0)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IFERROR(__xludf.DUMMYFUNCTION("IMPORTRANGE(""https://docs.google.com/spreadsheets/d/1eHaY18a8A9IcSdp1K8H6x8fbOy06t2VsZHhMHf-1x7Y/edit?usp=sharing"",""แผน!AO30"")"),0)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IFERROR(__xludf.DUMMYFUNCTION("IMPORTRANGE(""https://docs.google.com/spreadsheets/d/1eHaY18a8A9IcSdp1K8H6x8fbOy06t2VsZHhMHf-1x7Y/edit?usp=sharing"",""แผน!AP30"")"),0)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IFERROR(__xludf.DUMMYFUNCTION("IMPORTRANGE(""https://docs.google.com/spreadsheets/d/1eHaY18a8A9IcSdp1K8H6x8fbOy06t2VsZHhMHf-1x7Y/edit?usp=sharing"",""แผน!AP30"")"),0)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50000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IFERROR(__xludf.DUMMYFUNCTION("IMPORTRANGE(""https://docs.google.com/spreadsheets/d/1eHaY18a8A9IcSdp1K8H6x8fbOy06t2VsZHhMHf-1x7Y/edit?usp=sharing"",""แผน!AR30"")"),7000)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IFERROR(__xludf.DUMMYFUNCTION("IMPORTRANGE(""https://docs.google.com/spreadsheets/d/1eHaY18a8A9IcSdp1K8H6x8fbOy06t2VsZHhMHf-1x7Y/edit?usp=sharing"",""แผน!AS30"")"),1500)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IFERROR(__xludf.DUMMYFUNCTION("IMPORTRANGE(""https://docs.google.com/spreadsheets/d/1eHaY18a8A9IcSdp1K8H6x8fbOy06t2VsZHhMHf-1x7Y/edit?usp=sharing"",""แผน!AT30"")"),0)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IFERROR(__xludf.DUMMYFUNCTION("IMPORTRANGE(""https://docs.google.com/spreadsheets/d/1eHaY18a8A9IcSdp1K8H6x8fbOy06t2VsZHhMHf-1x7Y/edit?usp=sharing"",""แผน!AV30"")"),50000)</f>
        <v>50000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IFERROR(__xludf.DUMMYFUNCTION("IMPORTRANGE(""https://docs.google.com/spreadsheets/d/1eHaY18a8A9IcSdp1K8H6x8fbOy06t2VsZHhMHf-1x7Y/edit?usp=sharing"",""แผน!AV30"")"),50000)</f>
        <v>50000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IFERROR(__xludf.DUMMYFUNCTION("IMPORTRANGE(""https://docs.google.com/spreadsheets/d/1eHaY18a8A9IcSdp1K8H6x8fbOy06t2VsZHhMHf-1x7Y/edit?usp=sharing"",""แผน!AU30"")"),0)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IFERROR(__xludf.DUMMYFUNCTION("IMPORTRANGE(""https://docs.google.com/spreadsheets/d/1eHaY18a8A9IcSdp1K8H6x8fbOy06t2VsZHhMHf-1x7Y/edit?usp=sharing"",""แผน!AX30"")"),0)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IFERROR(__xludf.DUMMYFUNCTION("IMPORTRANGE(""https://docs.google.com/spreadsheets/d/1eHaY18a8A9IcSdp1K8H6x8fbOy06t2VsZHhMHf-1x7Y/edit?usp=sharing"",""แผน!AY30"")"),0)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IFERROR(__xludf.DUMMYFUNCTION("IMPORTRANGE(""https://docs.google.com/spreadsheets/d/1eHaY18a8A9IcSdp1K8H6x8fbOy06t2VsZHhMHf-1x7Y/edit?usp=sharing"",""แผน!AZ30"")"),0)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IFERROR(__xludf.DUMMYFUNCTION("IMPORTRANGE(""https://docs.google.com/spreadsheets/d/1eHaY18a8A9IcSdp1K8H6x8fbOy06t2VsZHhMHf-1x7Y/edit?usp=sharing"",""แผน!BA30"")"),0)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IFERROR(__xludf.DUMMYFUNCTION("IMPORTRANGE(""https://docs.google.com/spreadsheets/d/1eHaY18a8A9IcSdp1K8H6x8fbOy06t2VsZHhMHf-1x7Y/edit?usp=sharing"",""แผน!BG30"")"),0)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IFERROR(__xludf.DUMMYFUNCTION("IMPORTRANGE(""https://docs.google.com/spreadsheets/d/1eHaY18a8A9IcSdp1K8H6x8fbOy06t2VsZHhMHf-1x7Y/edit?usp=sharing"",""แผน!BB30"")"),0)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IFERROR(__xludf.DUMMYFUNCTION("IMPORTRANGE(""https://docs.google.com/spreadsheets/d/1eHaY18a8A9IcSdp1K8H6x8fbOy06t2VsZHhMHf-1x7Y/edit?usp=sharing"",""แผน!BC30"")"),0)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IFERROR(__xludf.DUMMYFUNCTION("IMPORTRANGE(""https://docs.google.com/spreadsheets/d/1eHaY18a8A9IcSdp1K8H6x8fbOy06t2VsZHhMHf-1x7Y/edit?usp=sharing"",""แผน!BD30"")"),0)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IFERROR(__xludf.DUMMYFUNCTION("IMPORTRANGE(""https://docs.google.com/spreadsheets/d/1eHaY18a8A9IcSdp1K8H6x8fbOy06t2VsZHhMHf-1x7Y/edit?usp=sharing"",""แผน!BE30"")"),0)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IFERROR(__xludf.DUMMYFUNCTION("IMPORTRANGE(""https://docs.google.com/spreadsheets/d/1eHaY18a8A9IcSdp1K8H6x8fbOy06t2VsZHhMHf-1x7Y/edit?usp=sharing"",""แผน!BH30"")"),0)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22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50660</v>
      </c>
      <c r="R267" s="583">
        <f t="shared" ca="1" si="164"/>
        <v>50660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50660</v>
      </c>
      <c r="R269" s="592">
        <f t="shared" ca="1" si="168"/>
        <v>50660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50660</v>
      </c>
      <c r="R270" s="592">
        <f t="shared" ca="1" si="170"/>
        <v>50660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IFERROR(__xludf.DUMMYFUNCTION("IMPORTRANGE(""https://docs.google.com/spreadsheets/d/1-uDff_7J0KD5mKrp0Vvzr7lt3OU09vwQwhkpOPPYv2Y/edit?usp=sharing"",""งบพรบ!DE30"")"),0)</f>
        <v>0</v>
      </c>
      <c r="M272" s="592">
        <f ca="1">IFERROR(__xludf.DUMMYFUNCTION("IMPORTRANGE(""https://docs.google.com/spreadsheets/d/1-uDff_7J0KD5mKrp0Vvzr7lt3OU09vwQwhkpOPPYv2Y/edit?usp=sharing"",""งบพรบ!DJ30"")"),5000)</f>
        <v>5000</v>
      </c>
      <c r="N272" s="592">
        <f ca="1">IFERROR(__xludf.DUMMYFUNCTION("IMPORTRANGE(""https://docs.google.com/spreadsheets/d/1-uDff_7J0KD5mKrp0Vvzr7lt3OU09vwQwhkpOPPYv2Y/edit?usp=sharing"",""งบพรบ!DL30"")"),0)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IFERROR(__xludf.DUMMYFUNCTION("IMPORTRANGE(""https://docs.google.com/spreadsheets/d/1ItG2mGa2ceCfYo0BwxsXqNm01IGEUdYcSSLTEv9YCik/edit?usp=sharing"",""เบิกจ่ายกองทุน!AJ30"")"),50660)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IFERROR(__xludf.DUMMYFUNCTION("IMPORTRANGE(""https://docs.google.com/spreadsheets/d/1ItG2mGa2ceCfYo0BwxsXqNm01IGEUdYcSSLTEv9YCik/edit?usp=sharing"",""เบิกจ่ายกองทุน!AK30"")"),50660)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IFERROR(__xludf.DUMMYFUNCTION("IMPORTRANGE(""https://docs.google.com/spreadsheets/d/1ItG2mGa2ceCfYo0BwxsXqNm01IGEUdYcSSLTEv9YCik/edit?usp=sharing"",""เบิกจ่ายกองทุน!AL30"")"),0)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IFERROR(__xludf.DUMMYFUNCTION("IMPORTRANGE(""https://docs.google.com/spreadsheets/d/1-uDff_7J0KD5mKrp0Vvzr7lt3OU09vwQwhkpOPPYv2Y/edit?usp=sharing"",""งบพรบ!DH30"")"),0)</f>
        <v>0</v>
      </c>
      <c r="M275" s="592">
        <f ca="1">IFERROR(__xludf.DUMMYFUNCTION("IMPORTRANGE(""https://docs.google.com/spreadsheets/d/1-uDff_7J0KD5mKrp0Vvzr7lt3OU09vwQwhkpOPPYv2Y/edit?usp=sharing"",""งบพรบ!DK30"")"),0)</f>
        <v>0</v>
      </c>
      <c r="N275" s="592">
        <f ca="1">IFERROR(__xludf.DUMMYFUNCTION("IMPORTRANGE(""https://docs.google.com/spreadsheets/d/1-uDff_7J0KD5mKrp0Vvzr7lt3OU09vwQwhkpOPPYv2Y/edit?usp=sharing"",""งบพรบ!DM30"")"),0)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IFERROR(__xludf.DUMMYFUNCTION("IMPORTRANGE(""https://docs.google.com/spreadsheets/d/1eHaY18a8A9IcSdp1K8H6x8fbOy06t2VsZHhMHf-1x7Y/edit?usp=sharing"",""แผน!EC30"")"),22)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30</v>
      </c>
      <c r="J281" s="619">
        <f t="shared" si="173"/>
        <v>30</v>
      </c>
      <c r="K281" s="620">
        <f t="shared" ref="K281:K282" ca="1" si="174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300</v>
      </c>
      <c r="J282" s="619">
        <f t="shared" si="175"/>
        <v>300</v>
      </c>
      <c r="K282" s="620">
        <f t="shared" ca="1" si="174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100120</v>
      </c>
      <c r="M283" s="515">
        <f t="shared" ca="1" si="176"/>
        <v>100120</v>
      </c>
      <c r="N283" s="515">
        <f t="shared" ca="1" si="176"/>
        <v>20120</v>
      </c>
      <c r="O283" s="515">
        <f t="shared" ref="O283:O291" ca="1" si="177">IF(L283&gt;0,N283*100/L283,0)</f>
        <v>20.09588493807431</v>
      </c>
      <c r="P283" s="515">
        <f t="shared" ref="P283:P291" ca="1" si="178">IF(M283&gt;0,N283*100/M283,0)</f>
        <v>20.09588493807431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100120</v>
      </c>
      <c r="M285" s="230">
        <f t="shared" ca="1" si="182"/>
        <v>100120</v>
      </c>
      <c r="N285" s="230">
        <f t="shared" ca="1" si="182"/>
        <v>20120</v>
      </c>
      <c r="O285" s="230">
        <f t="shared" ca="1" si="177"/>
        <v>20.09588493807431</v>
      </c>
      <c r="P285" s="230">
        <f t="shared" ca="1" si="178"/>
        <v>20.09588493807431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100120</v>
      </c>
      <c r="M286" s="230">
        <f t="shared" ca="1" si="184"/>
        <v>100120</v>
      </c>
      <c r="N286" s="230">
        <f t="shared" ca="1" si="184"/>
        <v>20120</v>
      </c>
      <c r="O286" s="230">
        <f t="shared" ca="1" si="177"/>
        <v>20.09588493807431</v>
      </c>
      <c r="P286" s="230">
        <f t="shared" ca="1" si="178"/>
        <v>20.09588493807431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IFERROR(__xludf.DUMMYFUNCTION("IMPORTRANGE(""https://docs.google.com/spreadsheets/d/1-uDff_7J0KD5mKrp0Vvzr7lt3OU09vwQwhkpOPPYv2Y/edit?usp=sharing"",""งบพรบ!DO30"")"),100120)</f>
        <v>100120</v>
      </c>
      <c r="M288" s="230">
        <f ca="1">IFERROR(__xludf.DUMMYFUNCTION("IMPORTRANGE(""https://docs.google.com/spreadsheets/d/1-uDff_7J0KD5mKrp0Vvzr7lt3OU09vwQwhkpOPPYv2Y/edit?usp=sharing"",""งบพรบ!DT30"")"),100120)</f>
        <v>100120</v>
      </c>
      <c r="N288" s="230">
        <f ca="1">IFERROR(__xludf.DUMMYFUNCTION("IMPORTRANGE(""https://docs.google.com/spreadsheets/d/1-uDff_7J0KD5mKrp0Vvzr7lt3OU09vwQwhkpOPPYv2Y/edit?usp=sharing"",""งบพรบ!DV30"")"),20120)</f>
        <v>20120</v>
      </c>
      <c r="O288" s="230">
        <f t="shared" ca="1" si="177"/>
        <v>20.09588493807431</v>
      </c>
      <c r="P288" s="230">
        <f t="shared" ca="1" si="178"/>
        <v>20.09588493807431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IFERROR(__xludf.DUMMYFUNCTION("IMPORTRANGE(""https://docs.google.com/spreadsheets/d/1-uDff_7J0KD5mKrp0Vvzr7lt3OU09vwQwhkpOPPYv2Y/edit?usp=sharing"",""งบพรบ!DR30"")"),0)</f>
        <v>0</v>
      </c>
      <c r="M291" s="230">
        <f ca="1">IFERROR(__xludf.DUMMYFUNCTION("IMPORTRANGE(""https://docs.google.com/spreadsheets/d/1-uDff_7J0KD5mKrp0Vvzr7lt3OU09vwQwhkpOPPYv2Y/edit?usp=sharing"",""งบพรบ!DU30"")"),0)</f>
        <v>0</v>
      </c>
      <c r="N291" s="230">
        <f ca="1">IFERROR(__xludf.DUMMYFUNCTION("IMPORTRANGE(""https://docs.google.com/spreadsheets/d/1-uDff_7J0KD5mKrp0Vvzr7lt3OU09vwQwhkpOPPYv2Y/edit?usp=sharing"",""งบพรบ!DW30"")"),0)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IFERROR(__xludf.DUMMYFUNCTION("IMPORTRANGE(""https://docs.google.com/spreadsheets/d/1eHaY18a8A9IcSdp1K8H6x8fbOy06t2VsZHhMHf-1x7Y/edit?usp=sharing"",""แผน!EE30"")"),300)</f>
        <v>300</v>
      </c>
      <c r="J293" s="520">
        <v>300</v>
      </c>
      <c r="K293" s="521">
        <f t="shared" ref="K293:K294" ca="1" si="188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IFERROR(__xludf.DUMMYFUNCTION("IMPORTRANGE(""https://docs.google.com/spreadsheets/d/1eHaY18a8A9IcSdp1K8H6x8fbOy06t2VsZHhMHf-1x7Y/edit?usp=sharing"",""แผน!ED30"")"),30)</f>
        <v>30</v>
      </c>
      <c r="J294" s="340">
        <f>J297</f>
        <v>30</v>
      </c>
      <c r="K294" s="518">
        <f t="shared" ca="1" si="188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IFERROR(__xludf.DUMMYFUNCTION("IMPORTRANGE(""https://docs.google.com/spreadsheets/d/1eHaY18a8A9IcSdp1K8H6x8fbOy06t2VsZHhMHf-1x7Y/edit?usp=sharing"",""แผน!ED30"")"),30)</f>
        <v>30</v>
      </c>
      <c r="J296" s="520">
        <v>30</v>
      </c>
      <c r="K296" s="521">
        <f t="shared" ref="K296:K297" ca="1" si="189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IFERROR(__xludf.DUMMYFUNCTION("IMPORTRANGE(""https://docs.google.com/spreadsheets/d/1eHaY18a8A9IcSdp1K8H6x8fbOy06t2VsZHhMHf-1x7Y/edit?usp=sharing"",""แผน!ED30"")"),30)</f>
        <v>30</v>
      </c>
      <c r="J297" s="520">
        <v>30</v>
      </c>
      <c r="K297" s="521">
        <f t="shared" ca="1" si="189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184600</v>
      </c>
      <c r="M304" s="515">
        <f t="shared" ca="1" si="191"/>
        <v>184600</v>
      </c>
      <c r="N304" s="515">
        <f t="shared" ca="1" si="191"/>
        <v>84662</v>
      </c>
      <c r="O304" s="515">
        <f t="shared" ref="O304:O312" ca="1" si="192">IF(L304&gt;0,N304*100/L304,0)</f>
        <v>45.862405200433372</v>
      </c>
      <c r="P304" s="515">
        <f t="shared" ref="P304:P312" ca="1" si="193">IF(M304&gt;0,N304*100/M304,0)</f>
        <v>45.862405200433372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184600</v>
      </c>
      <c r="M306" s="230">
        <f t="shared" ca="1" si="197"/>
        <v>184600</v>
      </c>
      <c r="N306" s="230">
        <f t="shared" ca="1" si="197"/>
        <v>84662</v>
      </c>
      <c r="O306" s="230">
        <f t="shared" ca="1" si="192"/>
        <v>45.862405200433372</v>
      </c>
      <c r="P306" s="230">
        <f t="shared" ca="1" si="193"/>
        <v>45.862405200433372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184600</v>
      </c>
      <c r="M307" s="230">
        <f t="shared" ca="1" si="199"/>
        <v>184600</v>
      </c>
      <c r="N307" s="230">
        <f t="shared" ca="1" si="199"/>
        <v>84662</v>
      </c>
      <c r="O307" s="230">
        <f t="shared" ca="1" si="192"/>
        <v>45.862405200433372</v>
      </c>
      <c r="P307" s="230">
        <f t="shared" ca="1" si="193"/>
        <v>45.862405200433372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IFERROR(__xludf.DUMMYFUNCTION("IMPORTRANGE(""https://docs.google.com/spreadsheets/d/1-uDff_7J0KD5mKrp0Vvzr7lt3OU09vwQwhkpOPPYv2Y/edit?usp=sharing"",""งบพรบ!DY30"")"),184600)</f>
        <v>184600</v>
      </c>
      <c r="M309" s="230">
        <f ca="1">IFERROR(__xludf.DUMMYFUNCTION("IMPORTRANGE(""https://docs.google.com/spreadsheets/d/1-uDff_7J0KD5mKrp0Vvzr7lt3OU09vwQwhkpOPPYv2Y/edit?usp=sharing"",""งบพรบ!ED30"")"),184600)</f>
        <v>184600</v>
      </c>
      <c r="N309" s="230">
        <f ca="1">IFERROR(__xludf.DUMMYFUNCTION("IMPORTRANGE(""https://docs.google.com/spreadsheets/d/1-uDff_7J0KD5mKrp0Vvzr7lt3OU09vwQwhkpOPPYv2Y/edit?usp=sharing"",""งบพรบ!EF30"")"),84662)</f>
        <v>84662</v>
      </c>
      <c r="O309" s="230">
        <f t="shared" ca="1" si="192"/>
        <v>45.862405200433372</v>
      </c>
      <c r="P309" s="230">
        <f t="shared" ca="1" si="193"/>
        <v>45.862405200433372</v>
      </c>
      <c r="Q309" s="230">
        <f ca="1">IFERROR(__xludf.DUMMYFUNCTION("IMPORTRANGE(""https://docs.google.com/spreadsheets/d/1ItG2mGa2ceCfYo0BwxsXqNm01IGEUdYcSSLTEv9YCik/edit?usp=sharing"",""เบิกจ่ายกองทุน!AP30"")"),144609.24)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IFERROR(__xludf.DUMMYFUNCTION("IMPORTRANGE(""https://docs.google.com/spreadsheets/d/1ItG2mGa2ceCfYo0BwxsXqNm01IGEUdYcSSLTEv9YCik/edit?usp=sharing"",""เบิกจ่ายกองทุน!AQ30"")"),144609)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IFERROR(__xludf.DUMMYFUNCTION("IMPORTRANGE(""https://docs.google.com/spreadsheets/d/1ItG2mGa2ceCfYo0BwxsXqNm01IGEUdYcSSLTEv9YCik/edit?usp=sharing"",""เบิกจ่ายกองทุน!AR30"")"),0)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IFERROR(__xludf.DUMMYFUNCTION("IMPORTRANGE(""https://docs.google.com/spreadsheets/d/1-uDff_7J0KD5mKrp0Vvzr7lt3OU09vwQwhkpOPPYv2Y/edit?usp=sharing"",""งบพรบ!EB30"")"),0)</f>
        <v>0</v>
      </c>
      <c r="M312" s="230">
        <f ca="1">IFERROR(__xludf.DUMMYFUNCTION("IMPORTRANGE(""https://docs.google.com/spreadsheets/d/1-uDff_7J0KD5mKrp0Vvzr7lt3OU09vwQwhkpOPPYv2Y/edit?usp=sharing"",""งบพรบ!EE30"")"),0)</f>
        <v>0</v>
      </c>
      <c r="N312" s="230">
        <f ca="1">IFERROR(__xludf.DUMMYFUNCTION("IMPORTRANGE(""https://docs.google.com/spreadsheets/d/1-uDff_7J0KD5mKrp0Vvzr7lt3OU09vwQwhkpOPPYv2Y/edit?usp=sharing"",""งบพรบ!EG30"")"),0)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IFERROR(__xludf.DUMMYFUNCTION("IMPORTRANGE(""https://docs.google.com/spreadsheets/d/1eHaY18a8A9IcSdp1K8H6x8fbOy06t2VsZHhMHf-1x7Y/edit?usp=sharing"",""แผน!EF30"")"),20)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1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20000</v>
      </c>
      <c r="M321" s="515">
        <f t="shared" ca="1" si="204"/>
        <v>20000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20000</v>
      </c>
      <c r="M323" s="230">
        <f t="shared" ca="1" si="210"/>
        <v>20000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20000</v>
      </c>
      <c r="M324" s="230">
        <f t="shared" ca="1" si="212"/>
        <v>20000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IFERROR(__xludf.DUMMYFUNCTION("IMPORTRANGE(""https://docs.google.com/spreadsheets/d/1-uDff_7J0KD5mKrp0Vvzr7lt3OU09vwQwhkpOPPYv2Y/edit?usp=sharing"",""งบพรบ!EI30"")"),20000)</f>
        <v>20000</v>
      </c>
      <c r="M326" s="230">
        <f ca="1">IFERROR(__xludf.DUMMYFUNCTION("IMPORTRANGE(""https://docs.google.com/spreadsheets/d/1-uDff_7J0KD5mKrp0Vvzr7lt3OU09vwQwhkpOPPYv2Y/edit?usp=sharing"",""งบพรบ!EN30"")"),20000)</f>
        <v>20000</v>
      </c>
      <c r="N326" s="230">
        <f ca="1">IFERROR(__xludf.DUMMYFUNCTION("IMPORTRANGE(""https://docs.google.com/spreadsheets/d/1-uDff_7J0KD5mKrp0Vvzr7lt3OU09vwQwhkpOPPYv2Y/edit?usp=sharing"",""งบพรบ!EP30"")"),0)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IFERROR(__xludf.DUMMYFUNCTION("IMPORTRANGE(""https://docs.google.com/spreadsheets/d/1-uDff_7J0KD5mKrp0Vvzr7lt3OU09vwQwhkpOPPYv2Y/edit?usp=sharing"",""งบพรบ!EL30"")"),0)</f>
        <v>0</v>
      </c>
      <c r="M329" s="230">
        <f ca="1">IFERROR(__xludf.DUMMYFUNCTION("IMPORTRANGE(""https://docs.google.com/spreadsheets/d/1-uDff_7J0KD5mKrp0Vvzr7lt3OU09vwQwhkpOPPYv2Y/edit?usp=sharing"",""งบพรบ!EO30"")"),0)</f>
        <v>0</v>
      </c>
      <c r="N329" s="230">
        <f ca="1">IFERROR(__xludf.DUMMYFUNCTION("IMPORTRANGE(""https://docs.google.com/spreadsheets/d/1-uDff_7J0KD5mKrp0Vvzr7lt3OU09vwQwhkpOPPYv2Y/edit?usp=sharing"",""งบพรบ!EQ30"")"),0)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IFERROR(__xludf.DUMMYFUNCTION("IMPORTRANGE(""https://docs.google.com/spreadsheets/d/1eHaY18a8A9IcSdp1K8H6x8fbOy06t2VsZHhMHf-1x7Y/edit?usp=sharing"",""แผน!EJ30"")"),1)</f>
        <v>1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1660</v>
      </c>
      <c r="J333" s="635">
        <f ca="1">J345+J348+J349+J350+J354</f>
        <v>1268</v>
      </c>
      <c r="K333" s="636">
        <f ca="1">IF(I333&gt;0,J333*100/I333,0)</f>
        <v>76.385542168674704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108000</v>
      </c>
      <c r="M334" s="515">
        <f t="shared" ca="1" si="216"/>
        <v>113000</v>
      </c>
      <c r="N334" s="515">
        <f t="shared" ca="1" si="216"/>
        <v>59580</v>
      </c>
      <c r="O334" s="515">
        <f t="shared" ref="O334:O342" ca="1" si="217">IF(L334&gt;0,N334*100/L334,0)</f>
        <v>55.166666666666664</v>
      </c>
      <c r="P334" s="515">
        <f t="shared" ref="P334:P342" ca="1" si="218">IF(M334&gt;0,N334*100/M334,0)</f>
        <v>52.725663716814161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108000</v>
      </c>
      <c r="M336" s="230">
        <f t="shared" ca="1" si="222"/>
        <v>113000</v>
      </c>
      <c r="N336" s="230">
        <f t="shared" ca="1" si="222"/>
        <v>59580</v>
      </c>
      <c r="O336" s="230">
        <f t="shared" ca="1" si="217"/>
        <v>55.166666666666664</v>
      </c>
      <c r="P336" s="230">
        <f t="shared" ca="1" si="218"/>
        <v>52.725663716814161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108000</v>
      </c>
      <c r="M337" s="230">
        <f t="shared" ca="1" si="224"/>
        <v>113000</v>
      </c>
      <c r="N337" s="230">
        <f t="shared" ca="1" si="224"/>
        <v>59580</v>
      </c>
      <c r="O337" s="230">
        <f t="shared" ca="1" si="217"/>
        <v>55.166666666666664</v>
      </c>
      <c r="P337" s="230">
        <f t="shared" ca="1" si="218"/>
        <v>52.725663716814161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IFERROR(__xludf.DUMMYFUNCTION("IMPORTRANGE(""https://docs.google.com/spreadsheets/d/1-uDff_7J0KD5mKrp0Vvzr7lt3OU09vwQwhkpOPPYv2Y/edit?usp=sharing"",""งบพรบ!ES30"")"),108000)</f>
        <v>108000</v>
      </c>
      <c r="M339" s="230">
        <f ca="1">IFERROR(__xludf.DUMMYFUNCTION("IMPORTRANGE(""https://docs.google.com/spreadsheets/d/1-uDff_7J0KD5mKrp0Vvzr7lt3OU09vwQwhkpOPPYv2Y/edit?usp=sharing"",""งบพรบ!EX30"")"),113000)</f>
        <v>113000</v>
      </c>
      <c r="N339" s="230">
        <f ca="1">IFERROR(__xludf.DUMMYFUNCTION("IMPORTRANGE(""https://docs.google.com/spreadsheets/d/1-uDff_7J0KD5mKrp0Vvzr7lt3OU09vwQwhkpOPPYv2Y/edit?usp=sharing"",""งบพรบ!EZ30"")"),59580)</f>
        <v>59580</v>
      </c>
      <c r="O339" s="230">
        <f t="shared" ca="1" si="217"/>
        <v>55.166666666666664</v>
      </c>
      <c r="P339" s="230">
        <f t="shared" ca="1" si="218"/>
        <v>52.725663716814161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IFERROR(__xludf.DUMMYFUNCTION("IMPORTRANGE(""https://docs.google.com/spreadsheets/d/1-uDff_7J0KD5mKrp0Vvzr7lt3OU09vwQwhkpOPPYv2Y/edit?usp=sharing"",""งบพรบ!EV30"")"),0)</f>
        <v>0</v>
      </c>
      <c r="M342" s="230">
        <f ca="1">IFERROR(__xludf.DUMMYFUNCTION("IMPORTRANGE(""https://docs.google.com/spreadsheets/d/1-uDff_7J0KD5mKrp0Vvzr7lt3OU09vwQwhkpOPPYv2Y/edit?usp=sharing"",""งบพรบ!EY30"")"),0)</f>
        <v>0</v>
      </c>
      <c r="N342" s="230">
        <f ca="1">IFERROR(__xludf.DUMMYFUNCTION("IMPORTRANGE(""https://docs.google.com/spreadsheets/d/1-uDff_7J0KD5mKrp0Vvzr7lt3OU09vwQwhkpOPPYv2Y/edit?usp=sharing"",""งบพรบ!FA30"")"),0)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993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IFERROR(__xludf.DUMMYFUNCTION("IMPORTRANGE(""https://docs.google.com/spreadsheets/d/1eHaY18a8A9IcSdp1K8H6x8fbOy06t2VsZHhMHf-1x7Y/edit?usp=sharing"",""แผน!EK30"")"),1660)</f>
        <v>1660</v>
      </c>
      <c r="J345" s="189">
        <f ca="1">IFERROR(__xludf.DUMMYFUNCTION("IMPORTRANGE(""https://docs.google.com/spreadsheets/d/1awYsYK3VOup2i3Pq_Yjnu8DRu_mYwSBnCR2QPthd0rU/edit?usp=sharing"",""ศูนย์ยกเว้นโฉนด!D30"")"),953)</f>
        <v>953</v>
      </c>
      <c r="K345" s="230">
        <f ca="1">IF(I345&gt;0,J345*100/I345,0)</f>
        <v>57.409638554216869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IFERROR(__xludf.DUMMYFUNCTION("IMPORTRANGE(""https://docs.google.com/spreadsheets/d/1eHaY18a8A9IcSdp1K8H6x8fbOy06t2VsZHhMHf-1x7Y/edit?usp=sharing"",""แผน!EL30"")"),4)</f>
        <v>4</v>
      </c>
      <c r="J347" s="189">
        <f ca="1">IFERROR(__xludf.DUMMYFUNCTION("IMPORTRANGE(""https://docs.google.com/spreadsheets/d/1awYsYK3VOup2i3Pq_Yjnu8DRu_mYwSBnCR2QPthd0rU/edit?usp=sharing"",""ศูนย์รวม!E30"")"),2)</f>
        <v>2</v>
      </c>
      <c r="K347" s="230">
        <f ca="1">IF(I347&gt;0,J347*100/I347,0)</f>
        <v>50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IFERROR(__xludf.DUMMYFUNCTION("IMPORTRANGE(""https://docs.google.com/spreadsheets/d/1awYsYK3VOup2i3Pq_Yjnu8DRu_mYwSBnCR2QPthd0rU/edit?usp=sharing"",""ศูนย์ยกเว้นโฉนด!F30"")"),40)</f>
        <v>40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IFERROR(__xludf.DUMMYFUNCTION("IMPORTRANGE(""https://docs.google.com/spreadsheets/d/1awYsYK3VOup2i3Pq_Yjnu8DRu_mYwSBnCR2QPthd0rU/edit?usp=sharing"",""ศูนย์ยกเว้นโฉนด!G30"")"),0)</f>
        <v>0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IFERROR(__xludf.DUMMYFUNCTION("IMPORTRANGE(""https://docs.google.com/spreadsheets/d/1awYsYK3VOup2i3Pq_Yjnu8DRu_mYwSBnCR2QPthd0rU/edit?usp=sharing"",""ศูนย์ยกเว้นโฉนด!H30"")"),0)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1452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IFERROR(__xludf.DUMMYFUNCTION("IMPORTRANGE(""https://docs.google.com/spreadsheets/d/1awYsYK3VOup2i3Pq_Yjnu8DRu_mYwSBnCR2QPthd0rU/edit?usp=sharing"",""โฉนดM3!G30"")"),1177)</f>
        <v>1177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IFERROR(__xludf.DUMMYFUNCTION("IMPORTRANGE(""https://docs.google.com/spreadsheets/d/1awYsYK3VOup2i3Pq_Yjnu8DRu_mYwSBnCR2QPthd0rU/edit?usp=sharing"",""โฉนดM3!H30"")"),275)</f>
        <v>275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573900</v>
      </c>
      <c r="M357" s="515">
        <f t="shared" ca="1" si="228"/>
        <v>573900</v>
      </c>
      <c r="N357" s="515">
        <f t="shared" ca="1" si="228"/>
        <v>341716</v>
      </c>
      <c r="O357" s="515">
        <f t="shared" ref="O357:O365" ca="1" si="229">IF(L357&gt;0,N357*100/L357,0)</f>
        <v>59.54277748736714</v>
      </c>
      <c r="P357" s="515">
        <f t="shared" ref="P357:P365" ca="1" si="230">IF(M357&gt;0,N357*100/M357,0)</f>
        <v>59.54277748736714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573900</v>
      </c>
      <c r="M359" s="230">
        <f t="shared" ca="1" si="234"/>
        <v>573900</v>
      </c>
      <c r="N359" s="230">
        <f t="shared" ca="1" si="234"/>
        <v>341716</v>
      </c>
      <c r="O359" s="230">
        <f t="shared" ca="1" si="229"/>
        <v>59.54277748736714</v>
      </c>
      <c r="P359" s="230">
        <f t="shared" ca="1" si="230"/>
        <v>59.54277748736714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573900</v>
      </c>
      <c r="M360" s="230">
        <f t="shared" ca="1" si="236"/>
        <v>573900</v>
      </c>
      <c r="N360" s="230">
        <f t="shared" ca="1" si="236"/>
        <v>341716</v>
      </c>
      <c r="O360" s="230">
        <f t="shared" ca="1" si="229"/>
        <v>59.54277748736714</v>
      </c>
      <c r="P360" s="230">
        <f t="shared" ca="1" si="230"/>
        <v>59.54277748736714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IFERROR(__xludf.DUMMYFUNCTION("IMPORTRANGE(""https://docs.google.com/spreadsheets/d/1-uDff_7J0KD5mKrp0Vvzr7lt3OU09vwQwhkpOPPYv2Y/edit?usp=sharing"",""งบพรบ!FC30"")"),573900)</f>
        <v>573900</v>
      </c>
      <c r="M362" s="230">
        <f ca="1">IFERROR(__xludf.DUMMYFUNCTION("IMPORTRANGE(""https://docs.google.com/spreadsheets/d/1-uDff_7J0KD5mKrp0Vvzr7lt3OU09vwQwhkpOPPYv2Y/edit?usp=sharing"",""งบพรบ!FH30"")"),573900)</f>
        <v>573900</v>
      </c>
      <c r="N362" s="230">
        <f ca="1">IFERROR(__xludf.DUMMYFUNCTION("IMPORTRANGE(""https://docs.google.com/spreadsheets/d/1-uDff_7J0KD5mKrp0Vvzr7lt3OU09vwQwhkpOPPYv2Y/edit?usp=sharing"",""งบพรบ!FJ30"")"),341716)</f>
        <v>341716</v>
      </c>
      <c r="O362" s="230">
        <f t="shared" ca="1" si="229"/>
        <v>59.54277748736714</v>
      </c>
      <c r="P362" s="230">
        <f t="shared" ca="1" si="230"/>
        <v>59.54277748736714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IFERROR(__xludf.DUMMYFUNCTION("IMPORTRANGE(""https://docs.google.com/spreadsheets/d/1-uDff_7J0KD5mKrp0Vvzr7lt3OU09vwQwhkpOPPYv2Y/edit?usp=sharing"",""งบพรบ!FF30"")"),0)</f>
        <v>0</v>
      </c>
      <c r="M365" s="230">
        <f ca="1">IFERROR(__xludf.DUMMYFUNCTION("IMPORTRANGE(""https://docs.google.com/spreadsheets/d/1-uDff_7J0KD5mKrp0Vvzr7lt3OU09vwQwhkpOPPYv2Y/edit?usp=sharing"",""งบพรบ!FI30"")"),0)</f>
        <v>0</v>
      </c>
      <c r="N365" s="230">
        <f ca="1">IFERROR(__xludf.DUMMYFUNCTION("IMPORTRANGE(""https://docs.google.com/spreadsheets/d/1-uDff_7J0KD5mKrp0Vvzr7lt3OU09vwQwhkpOPPYv2Y/edit?usp=sharing"",""งบพรบ!FK30"")"),0)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196</v>
      </c>
      <c r="J366" s="313">
        <f t="shared" ca="1" si="240"/>
        <v>79</v>
      </c>
      <c r="K366" s="314">
        <f ca="1">IF(I366&gt;0,J366*100/I366,0)</f>
        <v>40.306122448979593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IFERROR(__xludf.DUMMYFUNCTION("IMPORTRANGE(""https://docs.google.com/spreadsheets/d/1tdoBKaGub7dwA3U6UFTqxio9LNnvDCQjHKmttSEBsFQ/edit?usp=sharing"",""จัดที่ดิน!AB30"")"),122)</f>
        <v>122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IFERROR(__xludf.DUMMYFUNCTION("IMPORTRANGE(""https://docs.google.com/spreadsheets/d/1eHaY18a8A9IcSdp1K8H6x8fbOy06t2VsZHhMHf-1x7Y/edit?usp=sharing"",""แผน!EW30"")"),1620)</f>
        <v>1620</v>
      </c>
      <c r="J369" s="646">
        <f ca="1">IFERROR(__xludf.DUMMYFUNCTION("IMPORTRANGE(""https://docs.google.com/spreadsheets/d/1tdoBKaGub7dwA3U6UFTqxio9LNnvDCQjHKmttSEBsFQ/edit?usp=sharing"",""จัดที่ดิน!AC30"")"),1237.47)</f>
        <v>1237.47</v>
      </c>
      <c r="K369" s="230">
        <f t="shared" ca="1" si="241"/>
        <v>76.387037037037032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IFERROR(__xludf.DUMMYFUNCTION("IMPORTRANGE(""https://docs.google.com/spreadsheets/d/1eHaY18a8A9IcSdp1K8H6x8fbOy06t2VsZHhMHf-1x7Y/edit?usp=sharing"",""แผน!EX30"")"),297)</f>
        <v>297</v>
      </c>
      <c r="J370" s="189">
        <f ca="1">IFERROR(__xludf.DUMMYFUNCTION("IMPORTRANGE(""https://docs.google.com/spreadsheets/d/1tdoBKaGub7dwA3U6UFTqxio9LNnvDCQjHKmttSEBsFQ/edit?usp=sharing"",""จัดที่ดิน!AD30"")"),134)</f>
        <v>134</v>
      </c>
      <c r="K370" s="230">
        <f t="shared" ca="1" si="241"/>
        <v>45.117845117845121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IFERROR(__xludf.DUMMYFUNCTION("IMPORTRANGE(""https://docs.google.com/spreadsheets/d/1tdoBKaGub7dwA3U6UFTqxio9LNnvDCQjHKmttSEBsFQ/edit?usp=sharing"",""จัดที่ดิน!AE30"")"),2255.71)</f>
        <v>2255.71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IFERROR(__xludf.DUMMYFUNCTION("IMPORTRANGE(""https://docs.google.com/spreadsheets/d/1eHaY18a8A9IcSdp1K8H6x8fbOy06t2VsZHhMHf-1x7Y/edit?usp=sharing"",""แผน!EY30"")"),196)</f>
        <v>196</v>
      </c>
      <c r="J372" s="189">
        <f ca="1">IFERROR(__xludf.DUMMYFUNCTION("IMPORTRANGE(""https://docs.google.com/spreadsheets/d/1tdoBKaGub7dwA3U6UFTqxio9LNnvDCQjHKmttSEBsFQ/edit?usp=sharing"",""จัดที่ดิน!AF30"")"),79)</f>
        <v>79</v>
      </c>
      <c r="K372" s="230">
        <f t="shared" ca="1" si="241"/>
        <v>40.306122448979593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IFERROR(__xludf.DUMMYFUNCTION("IMPORTRANGE(""https://docs.google.com/spreadsheets/d/1tdoBKaGub7dwA3U6UFTqxio9LNnvDCQjHKmttSEBsFQ/edit?usp=sharing"",""จัดที่ดิน!AG30"")"),1601.79)</f>
        <v>1601.79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4000</v>
      </c>
      <c r="J375" s="654">
        <f t="shared" ca="1" si="242"/>
        <v>1107</v>
      </c>
      <c r="K375" s="655">
        <f ca="1">IF(I375&gt;0,J375*100/I375,0)</f>
        <v>27.675000000000001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250000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250000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250000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IFERROR(__xludf.DUMMYFUNCTION("IMPORTRANGE(""https://docs.google.com/spreadsheets/d/1ItG2mGa2ceCfYo0BwxsXqNm01IGEUdYcSSLTEv9YCik/edit?usp=sharing"",""เบิกจ่ายกองทุน!AY30"")"),250000)</f>
        <v>250000</v>
      </c>
      <c r="R381" s="230">
        <f ca="1">IFERROR(__xludf.DUMMYFUNCTION("IMPORTRANGE(""https://docs.google.com/spreadsheets/d/1ItG2mGa2ceCfYo0BwxsXqNm01IGEUdYcSSLTEv9YCik/edit?usp=sharing"",""เบิกจ่ายกองทุน!AZ30"")"),0)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IFERROR(__xludf.DUMMYFUNCTION("IMPORTRANGE(""https://docs.google.com/spreadsheets/d/1ItG2mGa2ceCfYo0BwxsXqNm01IGEUdYcSSLTEv9YCik/edit?usp=sharing"",""เบิกจ่ายกองทุน!BA30"")"),0)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IFERROR(__xludf.DUMMYFUNCTION("IMPORTRANGE(""https://docs.google.com/spreadsheets/d/1w5rwWK1o49a35cNtocGL0gxDwhFSTZUQu90BiH9_zqM/edit?usp=sharing"",""RTK!H30"")"),63)</f>
        <v>63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IFERROR(__xludf.DUMMYFUNCTION("IMPORTRANGE(""https://docs.google.com/spreadsheets/d/1w5rwWK1o49a35cNtocGL0gxDwhFSTZUQu90BiH9_zqM/edit?usp=sharing"",""RTK!G30"")"),4000)</f>
        <v>4000</v>
      </c>
      <c r="J387" s="189">
        <f ca="1">IFERROR(__xludf.DUMMYFUNCTION("IMPORTRANGE(""https://docs.google.com/spreadsheets/d/1w5rwWK1o49a35cNtocGL0gxDwhFSTZUQu90BiH9_zqM/edit?usp=sharing"",""RTK!I30"")"),1107)</f>
        <v>1107</v>
      </c>
      <c r="K387" s="230">
        <f t="shared" ca="1" si="255"/>
        <v>27.675000000000001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IFERROR(__xludf.DUMMYFUNCTION("IMPORTRANGE(""https://docs.google.com/spreadsheets/d/1w5rwWK1o49a35cNtocGL0gxDwhFSTZUQu90BiH9_zqM/edit?usp=sharing"",""RTK!L30"")"),0)</f>
        <v>0</v>
      </c>
      <c r="K388" s="592">
        <f t="shared" si="255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IFERROR(__xludf.DUMMYFUNCTION("IMPORTRANGE(""https://docs.google.com/spreadsheets/d/1w5rwWK1o49a35cNtocGL0gxDwhFSTZUQu90BiH9_zqM/edit?usp=sharing"",""RTK!K30"")"),0)</f>
        <v>0</v>
      </c>
      <c r="J389" s="661">
        <f ca="1">IFERROR(__xludf.DUMMYFUNCTION("IMPORTRANGE(""https://docs.google.com/spreadsheets/d/1w5rwWK1o49a35cNtocGL0gxDwhFSTZUQu90BiH9_zqM/edit?usp=sharing"",""RTK!M30"")"),0)</f>
        <v>0</v>
      </c>
      <c r="K389" s="592">
        <f t="shared" ca="1" si="255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IFERROR(__xludf.DUMMYFUNCTION("IMPORTRANGE(""https://docs.google.com/spreadsheets/d/1ItG2mGa2ceCfYo0BwxsXqNm01IGEUdYcSSLTEv9YCik/edit?usp=sharing"",""เบิกจ่ายกองทุน!BH30"")"),0)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IFERROR(__xludf.DUMMYFUNCTION("IMPORTRANGE(""https://docs.google.com/spreadsheets/d/1ItG2mGa2ceCfYo0BwxsXqNm01IGEUdYcSSLTEv9YCik/edit?usp=sharing"",""เบิกจ่ายกองทุน!BI30"")"),0)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IFERROR(__xludf.DUMMYFUNCTION("IMPORTRANGE(""https://docs.google.com/spreadsheets/d/1ItG2mGa2ceCfYo0BwxsXqNm01IGEUdYcSSLTEv9YCik/edit?usp=sharing"",""เบิกจ่ายกองทุน!BJ30"")"),0)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IFERROR(__xludf.DUMMYFUNCTION("IMPORTRANGE(""https://docs.google.com/spreadsheets/d/1eHaY18a8A9IcSdp1K8H6x8fbOy06t2VsZHhMHf-1x7Y/edit?usp=sharing"",""แผน!HJ30"")"),0)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IFERROR(__xludf.DUMMYFUNCTION("IMPORTRANGE(""https://docs.google.com/spreadsheets/d/1eHaY18a8A9IcSdp1K8H6x8fbOy06t2VsZHhMHf-1x7Y/edit?usp=sharing"",""แผน!HK30"")"),0)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IFERROR(__xludf.DUMMYFUNCTION("IMPORTRANGE(""https://docs.google.com/spreadsheets/d/1eHaY18a8A9IcSdp1K8H6x8fbOy06t2VsZHhMHf-1x7Y/edit?usp=sharing"",""แผน!HJ30"")"),0)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IFERROR(__xludf.DUMMYFUNCTION("IMPORTRANGE(""https://docs.google.com/spreadsheets/d/1eHaY18a8A9IcSdp1K8H6x8fbOy06t2VsZHhMHf-1x7Y/edit?usp=sharing"",""แผน!HK30"")"),0)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IFERROR(__xludf.DUMMYFUNCTION("IMPORTRANGE(""https://docs.google.com/spreadsheets/d/1eHaY18a8A9IcSdp1K8H6x8fbOy06t2VsZHhMHf-1x7Y/edit?usp=sharing"",""แผน!HJ30"")"),0)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IFERROR(__xludf.DUMMYFUNCTION("IMPORTRANGE(""https://docs.google.com/spreadsheets/d/1eHaY18a8A9IcSdp1K8H6x8fbOy06t2VsZHhMHf-1x7Y/edit?usp=sharing"",""แผน!HK30"")"),0)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IFERROR(__xludf.DUMMYFUNCTION("IMPORTRANGE(""https://docs.google.com/spreadsheets/d/1eHaY18a8A9IcSdp1K8H6x8fbOy06t2VsZHhMHf-1x7Y/edit?usp=sharing"",""แผน!HL30"")"),0)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IFERROR(__xludf.DUMMYFUNCTION("IMPORTRANGE(""https://docs.google.com/spreadsheets/d/1eHaY18a8A9IcSdp1K8H6x8fbOy06t2VsZHhMHf-1x7Y/edit?usp=sharing"",""แผน!HM30"")"),0)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IFERROR(__xludf.DUMMYFUNCTION("IMPORTRANGE(""https://docs.google.com/spreadsheets/d/1eHaY18a8A9IcSdp1K8H6x8fbOy06t2VsZHhMHf-1x7Y/edit?usp=sharing"",""แผน!HN30"")"),0)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IFERROR(__xludf.DUMMYFUNCTION("IMPORTRANGE(""https://docs.google.com/spreadsheets/d/1eHaY18a8A9IcSdp1K8H6x8fbOy06t2VsZHhMHf-1x7Y/edit?usp=sharing"",""แผน!HO30"")"),0)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60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741945</v>
      </c>
      <c r="R494" s="515">
        <f t="shared" ca="1" si="304"/>
        <v>741945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741945</v>
      </c>
      <c r="R496" s="230">
        <f t="shared" ca="1" si="308"/>
        <v>741945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741945</v>
      </c>
      <c r="R497" s="230">
        <f t="shared" ca="1" si="310"/>
        <v>741945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IFERROR(__xludf.DUMMYFUNCTION("IMPORTRANGE(""https://docs.google.com/spreadsheets/d/1ItG2mGa2ceCfYo0BwxsXqNm01IGEUdYcSSLTEv9YCik/edit?usp=sharing"",""เบิกจ่ายกองทุน!X30"")"),741945)</f>
        <v>741945</v>
      </c>
      <c r="R499" s="230">
        <f ca="1">IFERROR(__xludf.DUMMYFUNCTION("IMPORTRANGE(""https://docs.google.com/spreadsheets/d/1ItG2mGa2ceCfYo0BwxsXqNm01IGEUdYcSSLTEv9YCik/edit?usp=sharing"",""เบิกจ่ายกองทุน!Y30"")"),741945)</f>
        <v>741945</v>
      </c>
      <c r="S499" s="230">
        <f ca="1">IFERROR(__xludf.DUMMYFUNCTION("IMPORTRANGE(""https://docs.google.com/spreadsheets/d/1ItG2mGa2ceCfYo0BwxsXqNm01IGEUdYcSSLTEv9YCik/edit?usp=sharing"",""เบิกจ่ายกองทุน!Z30"")"),0)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IFERROR(__xludf.DUMMYFUNCTION("IMPORTRANGE(""https://docs.google.com/spreadsheets/d/1eHaY18a8A9IcSdp1K8H6x8fbOy06t2VsZHhMHf-1x7Y/edit?usp=sharing"",""แผน!GX30"")"),60)</f>
        <v>60</v>
      </c>
      <c r="J504" s="340">
        <f ca="1">IF(AND(J505=I504,J506=I504,J507=I504,J508=I504),I504,0)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IFERROR(__xludf.DUMMYFUNCTION("IMPORTRANGE(""https://docs.google.com/spreadsheets/d/1eHaY18a8A9IcSdp1K8H6x8fbOy06t2VsZHhMHf-1x7Y/edit?usp=sharing"",""แผน!GY30"")"),0)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IFERROR(__xludf.DUMMYFUNCTION("IMPORTRANGE(""https://docs.google.com/spreadsheets/d/1eHaY18a8A9IcSdp1K8H6x8fbOy06t2VsZHhMHf-1x7Y/edit?usp=sharing"",""แผน!GZ30"")"),0)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IFERROR(__xludf.DUMMYFUNCTION("IMPORTRANGE(""https://docs.google.com/spreadsheets/d/1eHaY18a8A9IcSdp1K8H6x8fbOy06t2VsZHhMHf-1x7Y/edit?usp=sharing"",""แผน!HA30"")"),0)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IFERROR(__xludf.DUMMYFUNCTION("IMPORTRANGE(""https://docs.google.com/spreadsheets/d/1eHaY18a8A9IcSdp1K8H6x8fbOy06t2VsZHhMHf-1x7Y/edit?usp=sharing"",""แผน!HB30"")"),0)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IFERROR(__xludf.DUMMYFUNCTION("IMPORTRANGE(""https://docs.google.com/spreadsheets/d/1eHaY18a8A9IcSdp1K8H6x8fbOy06t2VsZHhMHf-1x7Y/edit?usp=sharing"",""แผน!HC30"")"),0)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IFERROR(__xludf.DUMMYFUNCTION("IMPORTRANGE(""https://docs.google.com/spreadsheets/d/1-uDff_7J0KD5mKrp0Vvzr7lt3OU09vwQwhkpOPPYv2Y/edit?usp=sharing"",""งบพรบ!FM30"")"),0)</f>
        <v>0</v>
      </c>
      <c r="M519" s="230">
        <f ca="1">IFERROR(__xludf.DUMMYFUNCTION("IMPORTRANGE(""https://docs.google.com/spreadsheets/d/1-uDff_7J0KD5mKrp0Vvzr7lt3OU09vwQwhkpOPPYv2Y/edit?usp=sharing"",""งบพรบ!FR30"")"),0)</f>
        <v>0</v>
      </c>
      <c r="N519" s="230">
        <f ca="1">IFERROR(__xludf.DUMMYFUNCTION("IMPORTRANGE(""https://docs.google.com/spreadsheets/d/1-uDff_7J0KD5mKrp0Vvzr7lt3OU09vwQwhkpOPPYv2Y/edit?usp=sharing"",""งบพรบ!FT30"")"),0)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IFERROR(__xludf.DUMMYFUNCTION("IMPORTRANGE(""https://docs.google.com/spreadsheets/d/1-uDff_7J0KD5mKrp0Vvzr7lt3OU09vwQwhkpOPPYv2Y/edit?usp=sharing"",""งบพรบ!FP30"")"),0)</f>
        <v>0</v>
      </c>
      <c r="M522" s="230">
        <f ca="1">IFERROR(__xludf.DUMMYFUNCTION("IMPORTRANGE(""https://docs.google.com/spreadsheets/d/1-uDff_7J0KD5mKrp0Vvzr7lt3OU09vwQwhkpOPPYv2Y/edit?usp=sharing"",""งบพรบ!FS30"")"),0)</f>
        <v>0</v>
      </c>
      <c r="N522" s="230">
        <f ca="1">IFERROR(__xludf.DUMMYFUNCTION("IMPORTRANGE(""https://docs.google.com/spreadsheets/d/1-uDff_7J0KD5mKrp0Vvzr7lt3OU09vwQwhkpOPPYv2Y/edit?usp=sharing"",""งบพรบ!FU30"")"),0)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hidden="1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hidden="1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hidden="1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1200</v>
      </c>
      <c r="R617" s="515">
        <f t="shared" ca="1" si="383"/>
        <v>1200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1200</v>
      </c>
      <c r="R619" s="230">
        <f t="shared" ca="1" si="387"/>
        <v>1200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hidden="1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1200</v>
      </c>
      <c r="R620" s="230">
        <f t="shared" ca="1" si="389"/>
        <v>1200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IFERROR(__xludf.DUMMYFUNCTION("IMPORTRANGE(""https://docs.google.com/spreadsheets/d/1ItG2mGa2ceCfYo0BwxsXqNm01IGEUdYcSSLTEv9YCik/edit?usp=sharing"",""เบิกจ่ายกองทุน!F30"")"),1200)</f>
        <v>1200</v>
      </c>
      <c r="R622" s="230">
        <f ca="1">IFERROR(__xludf.DUMMYFUNCTION("IMPORTRANGE(""https://docs.google.com/spreadsheets/d/1ItG2mGa2ceCfYo0BwxsXqNm01IGEUdYcSSLTEv9YCik/edit?usp=sharing"",""เบิกจ่ายกองทุน!G30"")"),1200)</f>
        <v>1200</v>
      </c>
      <c r="S622" s="230">
        <f ca="1">IFERROR(__xludf.DUMMYFUNCTION("IMPORTRANGE(""https://docs.google.com/spreadsheets/d/1ItG2mGa2ceCfYo0BwxsXqNm01IGEUdYcSSLTEv9YCik/edit?usp=sharing"",""เบิกจ่ายกองทุน!H30"")"),0)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hidden="1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hidden="1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hidden="1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IFERROR(__xludf.DUMMYFUNCTION("IMPORTRANGE(""https://docs.google.com/spreadsheets/d/1eHaY18a8A9IcSdp1K8H6x8fbOy06t2VsZHhMHf-1x7Y/edit?usp=sharing"",""แผน!ID30"")"),0)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hidden="1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IFERROR(__xludf.DUMMYFUNCTION("IMPORTRANGE(""https://docs.google.com/spreadsheets/d/1eHaY18a8A9IcSdp1K8H6x8fbOy06t2VsZHhMHf-1x7Y/edit?usp=sharing"",""แผน!IC30"")"),0)</f>
        <v>0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hidden="1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IFERROR(__xludf.DUMMYFUNCTION("IMPORTRANGE(""https://docs.google.com/spreadsheets/d/1eHaY18a8A9IcSdp1K8H6x8fbOy06t2VsZHhMHf-1x7Y/edit?usp=sharing"",""แผน!IC30"")"),0)</f>
        <v>0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hidden="1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hidden="1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hidden="1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hidden="1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hidden="1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hidden="1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hidden="1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IFERROR(__xludf.DUMMYFUNCTION("IMPORTRANGE(""https://docs.google.com/spreadsheets/d/1eHaY18a8A9IcSdp1K8H6x8fbOy06t2VsZHhMHf-1x7Y/edit?usp=sharing"",""แผน!IE30"")"),0)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hidden="1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hidden="1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hidden="1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hidden="1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hidden="1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34240</v>
      </c>
      <c r="R643" s="515">
        <f t="shared" ca="1" si="397"/>
        <v>34240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34240</v>
      </c>
      <c r="R645" s="230">
        <f t="shared" ca="1" si="401"/>
        <v>34240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34240</v>
      </c>
      <c r="R646" s="230">
        <f t="shared" ca="1" si="403"/>
        <v>34240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8" s="230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8" s="230">
        <f ca="1">IFERROR(__xludf.DUMMYFUNCTION("IMPORTRANGE(""https://docs.google.com/spreadsheets/d/1ItG2mGa2ceCfYo0BwxsXqNm01IGEUdYcSSLTEv9YCik/edit?usp=sharing"",""เบิกจ่ายกองทุน!K30"")"),0)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IFERROR(__xludf.DUMMYFUNCTION("IMPORTRANGE(""https://docs.google.com/spreadsheets/d/1eHaY18a8A9IcSdp1K8H6x8fbOy06t2VsZHhMHf-1x7Y/edit?usp=sharing"",""แผน!IF30"")"),0)</f>
        <v>0</v>
      </c>
      <c r="J653" s="189">
        <f ca="1">IFERROR(__xludf.DUMMYFUNCTION("IMPORTRANGE(""https://docs.google.com/spreadsheets/d/1tdoBKaGub7dwA3U6UFTqxio9LNnvDCQjHKmttSEBsFQ/edit?usp=sharing"",""จัดที่ดิน!AU30"")"),0)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IFERROR(__xludf.DUMMYFUNCTION("IMPORTRANGE(""https://docs.google.com/spreadsheets/d/1eHaY18a8A9IcSdp1K8H6x8fbOy06t2VsZHhMHf-1x7Y/edit?usp=sharing"",""แผน!IG30"")"),0)</f>
        <v>0</v>
      </c>
      <c r="J654" s="189">
        <f ca="1">IFERROR(__xludf.DUMMYFUNCTION("IMPORTRANGE(""https://docs.google.com/spreadsheets/d/1tdoBKaGub7dwA3U6UFTqxio9LNnvDCQjHKmttSEBsFQ/edit?usp=sharing"",""จัดที่ดิน!AW30"")"),0)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IFERROR(__xludf.DUMMYFUNCTION("IMPORTRANGE(""https://docs.google.com/spreadsheets/d/1eHaY18a8A9IcSdp1K8H6x8fbOy06t2VsZHhMHf-1x7Y/edit?usp=sharing"",""แผน!IH30"")"),60)</f>
        <v>60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IFERROR(__xludf.DUMMYFUNCTION("IMPORTRANGE(""https://docs.google.com/spreadsheets/d/1eHaY18a8A9IcSdp1K8H6x8fbOy06t2VsZHhMHf-1x7Y/edit?usp=sharing"",""แผน!II30"")"),45)</f>
        <v>45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IFERROR(__xludf.DUMMYFUNCTION("IMPORTRANGE(""https://docs.google.com/spreadsheets/d/1eHaY18a8A9IcSdp1K8H6x8fbOy06t2VsZHhMHf-1x7Y/edit?usp=sharing"",""แผน!IJ30"")"),15)</f>
        <v>15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IFERROR(__xludf.DUMMYFUNCTION("IMPORTRANGE(""https://docs.google.com/spreadsheets/d/1eHaY18a8A9IcSdp1K8H6x8fbOy06t2VsZHhMHf-1x7Y/edit?usp=sharing"",""แผน!IK30"")"),102)</f>
        <v>102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IFERROR(__xludf.DUMMYFUNCTION("IMPORTRANGE(""https://docs.google.com/spreadsheets/d/1tdoBKaGub7dwA3U6UFTqxio9LNnvDCQjHKmttSEBsFQ/edit?usp=sharing"",""จัดที่ดิน!AY30"")"),0)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IFERROR(__xludf.DUMMYFUNCTION("IMPORTRANGE(""https://docs.google.com/spreadsheets/d/1tdoBKaGub7dwA3U6UFTqxio9LNnvDCQjHKmttSEBsFQ/edit?usp=sharing"",""จัดที่ดิน!AZ30"")"),0)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IFERROR(__xludf.DUMMYFUNCTION("IMPORTRANGE(""https://docs.google.com/spreadsheets/d/1eHaY18a8A9IcSdp1K8H6x8fbOy06t2VsZHhMHf-1x7Y/edit?usp=sharing"",""แผน!IL30"")"),225)</f>
        <v>225</v>
      </c>
      <c r="J674" s="189">
        <f ca="1">IFERROR(__xludf.DUMMYFUNCTION("IMPORTRANGE(""https://docs.google.com/spreadsheets/d/1tdoBKaGub7dwA3U6UFTqxio9LNnvDCQjHKmttSEBsFQ/edit?usp=sharing"",""จัดที่ดิน!BA30"")"),0)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IFERROR(__xludf.DUMMYFUNCTION("IMPORTRANGE(""https://docs.google.com/spreadsheets/d/1eHaY18a8A9IcSdp1K8H6x8fbOy06t2VsZHhMHf-1x7Y/edit?usp=sharing"",""แผน!IM30"")"),13)</f>
        <v>13</v>
      </c>
      <c r="J675" s="340">
        <f ca="1">J677+J680</f>
        <v>4</v>
      </c>
      <c r="K675" s="515">
        <f t="shared" ca="1" si="407"/>
        <v>30.76923076923077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IFERROR(__xludf.DUMMYFUNCTION("IMPORTRANGE(""https://docs.google.com/spreadsheets/d/1eHaY18a8A9IcSdp1K8H6x8fbOy06t2VsZHhMHf-1x7Y/edit?usp=sharing"",""แผน!IN30"")"),155)</f>
        <v>155</v>
      </c>
      <c r="J676" s="340">
        <f ca="1">J679+J682</f>
        <v>76.23</v>
      </c>
      <c r="K676" s="515">
        <f t="shared" ca="1" si="407"/>
        <v>49.180645161290322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IFERROR(__xludf.DUMMYFUNCTION("IMPORTRANGE(""https://docs.google.com/spreadsheets/d/1eHaY18a8A9IcSdp1K8H6x8fbOy06t2VsZHhMHf-1x7Y/edit?usp=sharing"",""แผน!IO30"")"),10)</f>
        <v>10</v>
      </c>
      <c r="J677" s="189">
        <f ca="1">IFERROR(__xludf.DUMMYFUNCTION("IMPORTRANGE(""https://docs.google.com/spreadsheets/d/1tdoBKaGub7dwA3U6UFTqxio9LNnvDCQjHKmttSEBsFQ/edit?usp=sharing"",""จัดที่ดิน!BF30"")"),4)</f>
        <v>4</v>
      </c>
      <c r="K677" s="230">
        <f t="shared" ca="1" si="407"/>
        <v>40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IFERROR(__xludf.DUMMYFUNCTION("IMPORTRANGE(""https://docs.google.com/spreadsheets/d/1tdoBKaGub7dwA3U6UFTqxio9LNnvDCQjHKmttSEBsFQ/edit?usp=sharing"",""จัดที่ดิน!BG30"")"),4)</f>
        <v>4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IFERROR(__xludf.DUMMYFUNCTION("IMPORTRANGE(""https://docs.google.com/spreadsheets/d/1eHaY18a8A9IcSdp1K8H6x8fbOy06t2VsZHhMHf-1x7Y/edit?usp=sharing"",""แผน!IP30"")"),125)</f>
        <v>125</v>
      </c>
      <c r="J679" s="189">
        <f ca="1">IFERROR(__xludf.DUMMYFUNCTION("IMPORTRANGE(""https://docs.google.com/spreadsheets/d/1tdoBKaGub7dwA3U6UFTqxio9LNnvDCQjHKmttSEBsFQ/edit?usp=sharing"",""จัดที่ดิน!BH30"")"),76.23)</f>
        <v>76.23</v>
      </c>
      <c r="K679" s="230">
        <f t="shared" ref="K679:K680" ca="1" si="408">IF(I679&gt;0,J679*100/I679,0)</f>
        <v>60.984000000000002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IFERROR(__xludf.DUMMYFUNCTION("IMPORTRANGE(""https://docs.google.com/spreadsheets/d/1eHaY18a8A9IcSdp1K8H6x8fbOy06t2VsZHhMHf-1x7Y/edit?usp=sharing"",""แผน!IQ30"")"),3)</f>
        <v>3</v>
      </c>
      <c r="J680" s="189">
        <f ca="1">IFERROR(__xludf.DUMMYFUNCTION("IMPORTRANGE(""https://docs.google.com/spreadsheets/d/1tdoBKaGub7dwA3U6UFTqxio9LNnvDCQjHKmttSEBsFQ/edit?usp=sharing"",""จัดที่ดิน!BK30"")"),0)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IFERROR(__xludf.DUMMYFUNCTION("IMPORTRANGE(""https://docs.google.com/spreadsheets/d/1tdoBKaGub7dwA3U6UFTqxio9LNnvDCQjHKmttSEBsFQ/edit?usp=sharing"",""จัดที่ดิน!BL30"")"),0)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IFERROR(__xludf.DUMMYFUNCTION("IMPORTRANGE(""https://docs.google.com/spreadsheets/d/1eHaY18a8A9IcSdp1K8H6x8fbOy06t2VsZHhMHf-1x7Y/edit?usp=sharing"",""แผน!IR30"")"),30)</f>
        <v>30</v>
      </c>
      <c r="J682" s="189">
        <f ca="1">IFERROR(__xludf.DUMMYFUNCTION("IMPORTRANGE(""https://docs.google.com/spreadsheets/d/1tdoBKaGub7dwA3U6UFTqxio9LNnvDCQjHKmttSEBsFQ/edit?usp=sharing"",""จัดที่ดิน!BM30"")"),0)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IFERROR(__xludf.DUMMYFUNCTION("IMPORTRANGE(""https://docs.google.com/spreadsheets/d/1eHaY18a8A9IcSdp1K8H6x8fbOy06t2VsZHhMHf-1x7Y/edit?usp=sharing"",""แผน!IS30"")"),99)</f>
        <v>99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0">I708</f>
        <v>55</v>
      </c>
      <c r="J690" s="756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159650</v>
      </c>
      <c r="R691" s="515">
        <f t="shared" ca="1" si="414"/>
        <v>159650</v>
      </c>
      <c r="S691" s="515">
        <f t="shared" ca="1" si="414"/>
        <v>20296.2</v>
      </c>
      <c r="T691" s="515">
        <f t="shared" ref="T691:T699" ca="1" si="415">IF(Q691&gt;0,S691*100/Q691,0)</f>
        <v>12.71293454431569</v>
      </c>
      <c r="U691" s="515">
        <f t="shared" ref="U691:U699" ca="1" si="416">IF(R691&gt;0,S691*100/R691,0)</f>
        <v>12.71293454431569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159650</v>
      </c>
      <c r="R693" s="230">
        <f t="shared" ca="1" si="418"/>
        <v>159650</v>
      </c>
      <c r="S693" s="230">
        <f t="shared" ca="1" si="418"/>
        <v>20296.2</v>
      </c>
      <c r="T693" s="230">
        <f t="shared" ca="1" si="415"/>
        <v>12.71293454431569</v>
      </c>
      <c r="U693" s="230">
        <f t="shared" ca="1" si="416"/>
        <v>12.71293454431569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159650</v>
      </c>
      <c r="R694" s="230">
        <f t="shared" ca="1" si="420"/>
        <v>159650</v>
      </c>
      <c r="S694" s="230">
        <f t="shared" ca="1" si="420"/>
        <v>20296.2</v>
      </c>
      <c r="T694" s="230">
        <f t="shared" ca="1" si="415"/>
        <v>12.71293454431569</v>
      </c>
      <c r="U694" s="230">
        <f t="shared" ca="1" si="416"/>
        <v>12.71293454431569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6" s="230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6" s="230">
        <f ca="1">IFERROR(__xludf.DUMMYFUNCTION("IMPORTRANGE(""https://docs.google.com/spreadsheets/d/1ItG2mGa2ceCfYo0BwxsXqNm01IGEUdYcSSLTEv9YCik/edit?usp=sharing"",""เบิกจ่ายกองทุน!N30"")"),20296.2)</f>
        <v>20296.2</v>
      </c>
      <c r="T696" s="230">
        <f t="shared" ca="1" si="415"/>
        <v>12.71293454431569</v>
      </c>
      <c r="U696" s="230">
        <f t="shared" ca="1" si="416"/>
        <v>12.71293454431569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IFERROR(__xludf.DUMMYFUNCTION("IMPORTRANGE(""https://docs.google.com/spreadsheets/d/1eHaY18a8A9IcSdp1K8H6x8fbOy06t2VsZHhMHf-1x7Y/edit?usp=sharing"",""แผน!LC30"")"),0)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59</v>
      </c>
      <c r="J702" s="340">
        <f t="shared" ca="1" si="424"/>
        <v>2</v>
      </c>
      <c r="K702" s="515">
        <f t="shared" ca="1" si="423"/>
        <v>3.3898305084745761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6.51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IFERROR(__xludf.DUMMYFUNCTION("IMPORTRANGE(""https://docs.google.com/spreadsheets/d/1eHaY18a8A9IcSdp1K8H6x8fbOy06t2VsZHhMHf-1x7Y/edit?usp=sharing"",""แผน!LJ30"")"),55)</f>
        <v>55</v>
      </c>
      <c r="J704" s="189">
        <f ca="1">IFERROR(__xludf.DUMMYFUNCTION("IMPORTRANGE(""https://docs.google.com/spreadsheets/d/1tdoBKaGub7dwA3U6UFTqxio9LNnvDCQjHKmttSEBsFQ/edit?usp=sharing"",""จัดที่ดิน!AP30"")"),2)</f>
        <v>2</v>
      </c>
      <c r="K704" s="230">
        <f t="shared" ca="1" si="423"/>
        <v>3.6363636363636362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IFERROR(__xludf.DUMMYFUNCTION("IMPORTRANGE(""https://docs.google.com/spreadsheets/d/1tdoBKaGub7dwA3U6UFTqxio9LNnvDCQjHKmttSEBsFQ/edit?usp=sharing"",""จัดที่ดิน!AQ30"")"),6.51)</f>
        <v>6.51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IFERROR(__xludf.DUMMYFUNCTION("IMPORTRANGE(""https://docs.google.com/spreadsheets/d/1eHaY18a8A9IcSdp1K8H6x8fbOy06t2VsZHhMHf-1x7Y/edit?usp=sharing"",""แผน!LK30"")"),4)</f>
        <v>4</v>
      </c>
      <c r="J706" s="189">
        <f ca="1">IFERROR(__xludf.DUMMYFUNCTION("IMPORTRANGE(""https://docs.google.com/spreadsheets/d/1tdoBKaGub7dwA3U6UFTqxio9LNnvDCQjHKmttSEBsFQ/edit?usp=sharing"",""จัดที่ดิน!AR30"")"),0)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IFERROR(__xludf.DUMMYFUNCTION("IMPORTRANGE(""https://docs.google.com/spreadsheets/d/1tdoBKaGub7dwA3U6UFTqxio9LNnvDCQjHKmttSEBsFQ/edit?usp=sharing"",""จัดที่ดิน!AS30"")"),0)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IFERROR(__xludf.DUMMYFUNCTION("IMPORTRANGE(""https://docs.google.com/spreadsheets/d/1eHaY18a8A9IcSdp1K8H6x8fbOy06t2VsZHhMHf-1x7Y/edit?usp=sharing"",""แผน!LJ30"")"),55)</f>
        <v>55</v>
      </c>
      <c r="J708" s="189">
        <f ca="1">IFERROR(__xludf.DUMMYFUNCTION("IMPORTRANGE(""https://docs.google.com/spreadsheets/d/1tdoBKaGub7dwA3U6UFTqxio9LNnvDCQjHKmttSEBsFQ/edit?usp=sharing"",""จัดที่ดิน!BN30"")"),0)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IFERROR(__xludf.DUMMYFUNCTION("IMPORTRANGE(""https://docs.google.com/spreadsheets/d/1tdoBKaGub7dwA3U6UFTqxio9LNnvDCQjHKmttSEBsFQ/edit?usp=sharing"",""จัดที่ดิน!BO30"")"),0)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IFERROR(__xludf.DUMMYFUNCTION("IMPORTRANGE(""https://docs.google.com/spreadsheets/d/1eHaY18a8A9IcSdp1K8H6x8fbOy06t2VsZHhMHf-1x7Y/edit?usp=sharing"",""แผน!LK30"")"),4)</f>
        <v>4</v>
      </c>
      <c r="J710" s="189">
        <f ca="1">IFERROR(__xludf.DUMMYFUNCTION("IMPORTRANGE(""https://docs.google.com/spreadsheets/d/1tdoBKaGub7dwA3U6UFTqxio9LNnvDCQjHKmttSEBsFQ/edit?usp=sharing"",""จัดที่ดิน!BP30"")"),0)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IFERROR(__xludf.DUMMYFUNCTION("IMPORTRANGE(""https://docs.google.com/spreadsheets/d/1tdoBKaGub7dwA3U6UFTqxio9LNnvDCQjHKmttSEBsFQ/edit?usp=sharing"",""จัดที่ดิน!BQ30"")"),0)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IFERROR(__xludf.DUMMYFUNCTION("IMPORTRANGE(""https://docs.google.com/spreadsheets/d/1eHaY18a8A9IcSdp1K8H6x8fbOy06t2VsZHhMHf-1x7Y/edit?usp=sharing"",""แผน!GA30"")"),128)</f>
        <v>128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IFERROR(__xludf.DUMMYFUNCTION("IMPORTRANGE(""https://docs.google.com/spreadsheets/d/1eHaY18a8A9IcSdp1K8H6x8fbOy06t2VsZHhMHf-1x7Y/edit?usp=sharing"",""แผน!FZ30"")"),1250)</f>
        <v>1250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1008470</v>
      </c>
      <c r="R729" s="515">
        <f t="shared" ca="1" si="441"/>
        <v>1008470</v>
      </c>
      <c r="S729" s="515">
        <f t="shared" ca="1" si="441"/>
        <v>26400</v>
      </c>
      <c r="T729" s="515">
        <f t="shared" ref="T729:T737" ca="1" si="442">IF(Q729&gt;0,S729*100/Q729,0)</f>
        <v>2.617827005265402</v>
      </c>
      <c r="U729" s="515">
        <f t="shared" ref="U729:U737" ca="1" si="443">IF(R729&gt;0,S729*100/R729,0)</f>
        <v>2.617827005265402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1008470</v>
      </c>
      <c r="R731" s="230">
        <f t="shared" ca="1" si="445"/>
        <v>1008470</v>
      </c>
      <c r="S731" s="230">
        <f t="shared" ca="1" si="445"/>
        <v>26400</v>
      </c>
      <c r="T731" s="230">
        <f t="shared" ca="1" si="442"/>
        <v>2.617827005265402</v>
      </c>
      <c r="U731" s="230">
        <f t="shared" ca="1" si="443"/>
        <v>2.617827005265402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1008470</v>
      </c>
      <c r="R732" s="230">
        <f t="shared" ca="1" si="447"/>
        <v>1008470</v>
      </c>
      <c r="S732" s="230">
        <f t="shared" ca="1" si="447"/>
        <v>26400</v>
      </c>
      <c r="T732" s="230">
        <f t="shared" ca="1" si="442"/>
        <v>2.617827005265402</v>
      </c>
      <c r="U732" s="230">
        <f t="shared" ca="1" si="443"/>
        <v>2.617827005265402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IFERROR(__xludf.DUMMYFUNCTION("IMPORTRANGE(""https://docs.google.com/spreadsheets/d/1ItG2mGa2ceCfYo0BwxsXqNm01IGEUdYcSSLTEv9YCik/edit?usp=sharing"",""เบิกจ่ายกองทุน!Q30"")"),26400)</f>
        <v>26400</v>
      </c>
      <c r="T734" s="230">
        <f t="shared" ca="1" si="442"/>
        <v>2.617827005265402</v>
      </c>
      <c r="U734" s="230">
        <f t="shared" ca="1" si="443"/>
        <v>2.617827005265402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IFERROR(__xludf.DUMMYFUNCTION("IMPORTRANGE(""https://docs.google.com/spreadsheets/d/1eHaY18a8A9IcSdp1K8H6x8fbOy06t2VsZHhMHf-1x7Y/edit?usp=sharing"",""แผน!GB30"")"),1000)</f>
        <v>1000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136"/>
      <c r="B742" s="137"/>
      <c r="C742" s="137"/>
      <c r="D742" s="137"/>
      <c r="E742" s="137"/>
      <c r="F742" s="422" t="s">
        <v>272</v>
      </c>
      <c r="G742" s="141"/>
      <c r="H742" s="131" t="s">
        <v>35</v>
      </c>
      <c r="I742" s="41"/>
      <c r="J742" s="520">
        <v>0</v>
      </c>
      <c r="K742" s="42"/>
      <c r="L742" s="484"/>
      <c r="M742" s="42"/>
      <c r="N742" s="42"/>
      <c r="O742" s="42"/>
      <c r="P742" s="42"/>
      <c r="Q742" s="42"/>
      <c r="R742" s="42"/>
      <c r="S742" s="42"/>
      <c r="T742" s="42"/>
      <c r="U742" s="42"/>
    </row>
    <row r="743" spans="1:21" ht="18.75" x14ac:dyDescent="0.25">
      <c r="A743" s="136"/>
      <c r="B743" s="137"/>
      <c r="C743" s="137"/>
      <c r="D743" s="137"/>
      <c r="E743" s="137"/>
      <c r="F743" s="422" t="s">
        <v>273</v>
      </c>
      <c r="G743" s="141"/>
      <c r="H743" s="131" t="s">
        <v>35</v>
      </c>
      <c r="I743" s="189">
        <f ca="1">IFERROR(__xludf.DUMMYFUNCTION("IMPORTRANGE(""https://docs.google.com/spreadsheets/d/1eHaY18a8A9IcSdp1K8H6x8fbOy06t2VsZHhMHf-1x7Y/edit?usp=sharing"",""แผน!GC30"")"),100)</f>
        <v>100</v>
      </c>
      <c r="J743" s="520">
        <v>0</v>
      </c>
      <c r="K743" s="230">
        <f ca="1">IF(I743&gt;0,J743*100/I743,0)</f>
        <v>0</v>
      </c>
      <c r="L743" s="484"/>
      <c r="M743" s="42"/>
      <c r="N743" s="42"/>
      <c r="O743" s="42"/>
      <c r="P743" s="42"/>
      <c r="Q743" s="42"/>
      <c r="R743" s="42"/>
      <c r="S743" s="42"/>
      <c r="T743" s="42"/>
      <c r="U743" s="42"/>
    </row>
    <row r="744" spans="1:21" ht="18.75" x14ac:dyDescent="0.25">
      <c r="A744" s="136"/>
      <c r="B744" s="137"/>
      <c r="C744" s="137"/>
      <c r="D744" s="137"/>
      <c r="E744" s="422" t="s">
        <v>274</v>
      </c>
      <c r="F744" s="137"/>
      <c r="G744" s="141"/>
      <c r="H744" s="181"/>
      <c r="I744" s="41"/>
      <c r="J744" s="41"/>
      <c r="K744" s="42"/>
      <c r="L744" s="484"/>
      <c r="M744" s="42"/>
      <c r="N744" s="42"/>
      <c r="O744" s="42"/>
      <c r="P744" s="42"/>
      <c r="Q744" s="42"/>
      <c r="R744" s="42"/>
      <c r="S744" s="42"/>
      <c r="T744" s="42"/>
      <c r="U744" s="42"/>
    </row>
    <row r="745" spans="1:21" ht="18.75" x14ac:dyDescent="0.25">
      <c r="A745" s="136"/>
      <c r="B745" s="137"/>
      <c r="C745" s="137"/>
      <c r="D745" s="137"/>
      <c r="E745" s="137"/>
      <c r="F745" s="422" t="s">
        <v>271</v>
      </c>
      <c r="G745" s="141"/>
      <c r="H745" s="131" t="s">
        <v>46</v>
      </c>
      <c r="I745" s="189">
        <f ca="1">IFERROR(__xludf.DUMMYFUNCTION("IMPORTRANGE(""https://docs.google.com/spreadsheets/d/1eHaY18a8A9IcSdp1K8H6x8fbOy06t2VsZHhMHf-1x7Y/edit?usp=sharing"",""แผน!GD30"")"),250)</f>
        <v>250</v>
      </c>
      <c r="J745" s="520">
        <v>0</v>
      </c>
      <c r="K745" s="230">
        <f ca="1">IF(I745&gt;0,J745*100/I745,0)</f>
        <v>0</v>
      </c>
      <c r="L745" s="484"/>
      <c r="M745" s="42"/>
      <c r="N745" s="42"/>
      <c r="O745" s="42"/>
      <c r="P745" s="42"/>
      <c r="Q745" s="42"/>
      <c r="R745" s="42"/>
      <c r="S745" s="42"/>
      <c r="T745" s="42"/>
      <c r="U745" s="42"/>
    </row>
    <row r="746" spans="1:21" ht="18.75" x14ac:dyDescent="0.25">
      <c r="A746" s="136"/>
      <c r="B746" s="137"/>
      <c r="C746" s="137"/>
      <c r="D746" s="137"/>
      <c r="E746" s="137"/>
      <c r="F746" s="422" t="s">
        <v>275</v>
      </c>
      <c r="G746" s="141"/>
      <c r="H746" s="131" t="s">
        <v>35</v>
      </c>
      <c r="I746" s="41"/>
      <c r="J746" s="520">
        <v>0</v>
      </c>
      <c r="K746" s="42"/>
      <c r="L746" s="484"/>
      <c r="M746" s="42"/>
      <c r="N746" s="42"/>
      <c r="O746" s="42"/>
      <c r="P746" s="42"/>
      <c r="Q746" s="42"/>
      <c r="R746" s="42"/>
      <c r="S746" s="42"/>
      <c r="T746" s="42"/>
      <c r="U746" s="42"/>
    </row>
    <row r="747" spans="1:21" ht="18.75" x14ac:dyDescent="0.25">
      <c r="A747" s="136"/>
      <c r="B747" s="137"/>
      <c r="C747" s="137"/>
      <c r="D747" s="137"/>
      <c r="E747" s="137"/>
      <c r="F747" s="422" t="s">
        <v>276</v>
      </c>
      <c r="G747" s="141"/>
      <c r="H747" s="131" t="s">
        <v>35</v>
      </c>
      <c r="I747" s="189">
        <f ca="1">IFERROR(__xludf.DUMMYFUNCTION("IMPORTRANGE(""https://docs.google.com/spreadsheets/d/1eHaY18a8A9IcSdp1K8H6x8fbOy06t2VsZHhMHf-1x7Y/edit?usp=sharing"",""แผน!GE30"")"),25)</f>
        <v>25</v>
      </c>
      <c r="J747" s="520">
        <v>0</v>
      </c>
      <c r="K747" s="230">
        <f ca="1">IF(I747&gt;0,J747*100/I747,0)</f>
        <v>0</v>
      </c>
      <c r="L747" s="484"/>
      <c r="M747" s="42"/>
      <c r="N747" s="42"/>
      <c r="O747" s="42"/>
      <c r="P747" s="42"/>
      <c r="Q747" s="42"/>
      <c r="R747" s="42"/>
      <c r="S747" s="42"/>
      <c r="T747" s="42"/>
      <c r="U747" s="42"/>
    </row>
    <row r="748" spans="1:21" ht="18.75" x14ac:dyDescent="0.25">
      <c r="A748" s="136"/>
      <c r="B748" s="137"/>
      <c r="C748" s="137"/>
      <c r="D748" s="137"/>
      <c r="E748" s="422" t="s">
        <v>277</v>
      </c>
      <c r="F748" s="167"/>
      <c r="G748" s="141"/>
      <c r="H748" s="181"/>
      <c r="I748" s="41"/>
      <c r="J748" s="41"/>
      <c r="K748" s="42"/>
      <c r="L748" s="484"/>
      <c r="M748" s="42"/>
      <c r="N748" s="42"/>
      <c r="O748" s="42"/>
      <c r="P748" s="42"/>
      <c r="Q748" s="42"/>
      <c r="R748" s="42"/>
      <c r="S748" s="42"/>
      <c r="T748" s="42"/>
      <c r="U748" s="42"/>
    </row>
    <row r="749" spans="1:21" ht="18.75" x14ac:dyDescent="0.25">
      <c r="A749" s="136"/>
      <c r="B749" s="137"/>
      <c r="C749" s="137"/>
      <c r="D749" s="137"/>
      <c r="E749" s="137"/>
      <c r="F749" s="422" t="s">
        <v>278</v>
      </c>
      <c r="G749" s="141"/>
      <c r="H749" s="131" t="s">
        <v>35</v>
      </c>
      <c r="I749" s="41"/>
      <c r="J749" s="520">
        <v>0</v>
      </c>
      <c r="K749" s="42"/>
      <c r="L749" s="484"/>
      <c r="M749" s="42"/>
      <c r="N749" s="42"/>
      <c r="O749" s="42"/>
      <c r="P749" s="42"/>
      <c r="Q749" s="42"/>
      <c r="R749" s="42"/>
      <c r="S749" s="42"/>
      <c r="T749" s="42"/>
      <c r="U749" s="42"/>
    </row>
    <row r="750" spans="1:21" ht="18.75" x14ac:dyDescent="0.25">
      <c r="A750" s="136"/>
      <c r="B750" s="137"/>
      <c r="C750" s="137"/>
      <c r="D750" s="137"/>
      <c r="E750" s="137"/>
      <c r="F750" s="422" t="s">
        <v>279</v>
      </c>
      <c r="G750" s="141"/>
      <c r="H750" s="131" t="s">
        <v>35</v>
      </c>
      <c r="I750" s="189">
        <f ca="1">IFERROR(__xludf.DUMMYFUNCTION("IMPORTRANGE(""https://docs.google.com/spreadsheets/d/1eHaY18a8A9IcSdp1K8H6x8fbOy06t2VsZHhMHf-1x7Y/edit?usp=sharing"",""แผน!GF30"")"),3)</f>
        <v>3</v>
      </c>
      <c r="J750" s="520">
        <v>0</v>
      </c>
      <c r="K750" s="230">
        <f ca="1">IF(I750&gt;0,J750*100/I750,0)</f>
        <v>0</v>
      </c>
      <c r="L750" s="484"/>
      <c r="M750" s="42"/>
      <c r="N750" s="42"/>
      <c r="O750" s="42"/>
      <c r="P750" s="42"/>
      <c r="Q750" s="42"/>
      <c r="R750" s="42"/>
      <c r="S750" s="42"/>
      <c r="T750" s="42"/>
      <c r="U750" s="42"/>
    </row>
    <row r="751" spans="1:21" ht="19.5" x14ac:dyDescent="0.3">
      <c r="A751" s="136"/>
      <c r="B751" s="137"/>
      <c r="C751" s="137"/>
      <c r="D751" s="451" t="s">
        <v>50</v>
      </c>
      <c r="E751" s="137"/>
      <c r="F751" s="167"/>
      <c r="G751" s="141"/>
      <c r="H751" s="181"/>
      <c r="I751" s="41"/>
      <c r="J751" s="41"/>
      <c r="K751" s="42"/>
      <c r="L751" s="484"/>
      <c r="M751" s="42"/>
      <c r="N751" s="42"/>
      <c r="O751" s="42"/>
      <c r="P751" s="42"/>
      <c r="Q751" s="42"/>
      <c r="R751" s="42"/>
      <c r="S751" s="42"/>
      <c r="T751" s="42"/>
      <c r="U751" s="42"/>
    </row>
    <row r="752" spans="1:21" ht="18.75" x14ac:dyDescent="0.25">
      <c r="A752" s="136"/>
      <c r="B752" s="137"/>
      <c r="C752" s="137"/>
      <c r="D752" s="137"/>
      <c r="E752" s="422" t="s">
        <v>270</v>
      </c>
      <c r="F752" s="167"/>
      <c r="G752" s="141"/>
      <c r="H752" s="181"/>
      <c r="I752" s="41"/>
      <c r="J752" s="41"/>
      <c r="K752" s="42"/>
      <c r="L752" s="484"/>
      <c r="M752" s="42"/>
      <c r="N752" s="42"/>
      <c r="O752" s="42"/>
      <c r="P752" s="42"/>
      <c r="Q752" s="42"/>
      <c r="R752" s="42"/>
      <c r="S752" s="42"/>
      <c r="T752" s="42"/>
      <c r="U752" s="42"/>
    </row>
    <row r="753" spans="1:21" ht="18.75" x14ac:dyDescent="0.25">
      <c r="A753" s="136"/>
      <c r="B753" s="137"/>
      <c r="C753" s="137"/>
      <c r="D753" s="137"/>
      <c r="E753" s="137"/>
      <c r="F753" s="164" t="s">
        <v>280</v>
      </c>
      <c r="G753" s="141"/>
      <c r="H753" s="131" t="s">
        <v>46</v>
      </c>
      <c r="I753" s="189">
        <f ca="1">IFERROR(__xludf.DUMMYFUNCTION("IMPORTRANGE(""https://docs.google.com/spreadsheets/d/1eHaY18a8A9IcSdp1K8H6x8fbOy06t2VsZHhMHf-1x7Y/edit?usp=sharing"",""แผน!GC30"")"),100)</f>
        <v>100</v>
      </c>
      <c r="J753" s="520">
        <v>0</v>
      </c>
      <c r="K753" s="230">
        <f ca="1">IF(I753&gt;0,J753*100/I753,0)</f>
        <v>0</v>
      </c>
      <c r="L753" s="484"/>
      <c r="M753" s="42"/>
      <c r="N753" s="42"/>
      <c r="O753" s="42"/>
      <c r="P753" s="42"/>
      <c r="Q753" s="42"/>
      <c r="R753" s="42"/>
      <c r="S753" s="42"/>
      <c r="T753" s="42"/>
      <c r="U753" s="42"/>
    </row>
    <row r="754" spans="1:21" ht="18.75" x14ac:dyDescent="0.25">
      <c r="A754" s="136"/>
      <c r="B754" s="137"/>
      <c r="C754" s="137"/>
      <c r="D754" s="137"/>
      <c r="E754" s="137"/>
      <c r="F754" s="164" t="s">
        <v>281</v>
      </c>
      <c r="G754" s="141"/>
      <c r="H754" s="131" t="s">
        <v>46</v>
      </c>
      <c r="I754" s="41"/>
      <c r="J754" s="520">
        <v>0</v>
      </c>
      <c r="K754" s="42"/>
      <c r="L754" s="484"/>
      <c r="M754" s="42"/>
      <c r="N754" s="42"/>
      <c r="O754" s="42"/>
      <c r="P754" s="42"/>
      <c r="Q754" s="42"/>
      <c r="R754" s="42"/>
      <c r="S754" s="42"/>
      <c r="T754" s="42"/>
      <c r="U754" s="42"/>
    </row>
    <row r="755" spans="1:21" ht="18.75" x14ac:dyDescent="0.25">
      <c r="A755" s="136"/>
      <c r="B755" s="137"/>
      <c r="C755" s="137"/>
      <c r="D755" s="137"/>
      <c r="E755" s="422" t="s">
        <v>274</v>
      </c>
      <c r="F755" s="167"/>
      <c r="G755" s="141"/>
      <c r="H755" s="181"/>
      <c r="I755" s="41"/>
      <c r="J755" s="41"/>
      <c r="K755" s="42"/>
      <c r="L755" s="484"/>
      <c r="M755" s="42"/>
      <c r="N755" s="42"/>
      <c r="O755" s="42"/>
      <c r="P755" s="42"/>
      <c r="Q755" s="42"/>
      <c r="R755" s="42"/>
      <c r="S755" s="42"/>
      <c r="T755" s="42"/>
      <c r="U755" s="42"/>
    </row>
    <row r="756" spans="1:21" ht="18.75" x14ac:dyDescent="0.25">
      <c r="A756" s="136"/>
      <c r="B756" s="137"/>
      <c r="C756" s="137"/>
      <c r="D756" s="137"/>
      <c r="E756" s="167"/>
      <c r="F756" s="164" t="s">
        <v>282</v>
      </c>
      <c r="G756" s="141"/>
      <c r="H756" s="131" t="s">
        <v>46</v>
      </c>
      <c r="I756" s="189">
        <f ca="1">IFERROR(__xludf.DUMMYFUNCTION("IMPORTRANGE(""https://docs.google.com/spreadsheets/d/1eHaY18a8A9IcSdp1K8H6x8fbOy06t2VsZHhMHf-1x7Y/edit?usp=sharing"",""แผน!GE30"")"),25)</f>
        <v>25</v>
      </c>
      <c r="J756" s="520">
        <v>0</v>
      </c>
      <c r="K756" s="230">
        <f ca="1">IF(I756&gt;0,J756*100/I756,0)</f>
        <v>0</v>
      </c>
      <c r="L756" s="484"/>
      <c r="M756" s="42"/>
      <c r="N756" s="42"/>
      <c r="O756" s="42"/>
      <c r="P756" s="42"/>
      <c r="Q756" s="42"/>
      <c r="R756" s="42"/>
      <c r="S756" s="42"/>
      <c r="T756" s="42"/>
      <c r="U756" s="42"/>
    </row>
    <row r="757" spans="1:21" ht="18.75" x14ac:dyDescent="0.25">
      <c r="A757" s="136"/>
      <c r="B757" s="137"/>
      <c r="C757" s="137"/>
      <c r="D757" s="137"/>
      <c r="E757" s="167"/>
      <c r="F757" s="164" t="s">
        <v>283</v>
      </c>
      <c r="G757" s="141"/>
      <c r="H757" s="131" t="s">
        <v>46</v>
      </c>
      <c r="I757" s="41"/>
      <c r="J757" s="520">
        <v>0</v>
      </c>
      <c r="K757" s="42"/>
      <c r="L757" s="484"/>
      <c r="M757" s="42"/>
      <c r="N757" s="42"/>
      <c r="O757" s="42"/>
      <c r="P757" s="42"/>
      <c r="Q757" s="42"/>
      <c r="R757" s="42"/>
      <c r="S757" s="42"/>
      <c r="T757" s="42"/>
      <c r="U757" s="42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80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120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460700</v>
      </c>
      <c r="R760" s="515">
        <f t="shared" ca="1" si="456"/>
        <v>460700</v>
      </c>
      <c r="S760" s="515">
        <f t="shared" ca="1" si="456"/>
        <v>0</v>
      </c>
      <c r="T760" s="515">
        <f t="shared" ref="T760:T768" ca="1" si="457">IF(Q760&gt;0,S760*100/Q760,0)</f>
        <v>0</v>
      </c>
      <c r="U760" s="515">
        <f t="shared" ref="U760:U768" ca="1" si="458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460700</v>
      </c>
      <c r="R762" s="230">
        <f t="shared" ca="1" si="460"/>
        <v>460700</v>
      </c>
      <c r="S762" s="230">
        <f t="shared" ca="1" si="460"/>
        <v>0</v>
      </c>
      <c r="T762" s="230">
        <f t="shared" ca="1" si="457"/>
        <v>0</v>
      </c>
      <c r="U762" s="230">
        <f t="shared" ca="1" si="458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460700</v>
      </c>
      <c r="R763" s="230">
        <f t="shared" ca="1" si="462"/>
        <v>460700</v>
      </c>
      <c r="S763" s="230">
        <f t="shared" ca="1" si="462"/>
        <v>0</v>
      </c>
      <c r="T763" s="230">
        <f t="shared" ca="1" si="457"/>
        <v>0</v>
      </c>
      <c r="U763" s="230">
        <f t="shared" ca="1" si="458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IFERROR(__xludf.DUMMYFUNCTION("IMPORTRANGE(""https://docs.google.com/spreadsheets/d/1ItG2mGa2ceCfYo0BwxsXqNm01IGEUdYcSSLTEv9YCik/edit?usp=sharing"",""เบิกจ่ายกองทุน!U30"")"),460700)</f>
        <v>460700</v>
      </c>
      <c r="R765" s="230">
        <f ca="1">IFERROR(__xludf.DUMMYFUNCTION("IMPORTRANGE(""https://docs.google.com/spreadsheets/d/1ItG2mGa2ceCfYo0BwxsXqNm01IGEUdYcSSLTEv9YCik/edit?usp=sharing"",""เบิกจ่ายกองทุน!V30"")"),460700)</f>
        <v>460700</v>
      </c>
      <c r="S765" s="230">
        <f ca="1">IFERROR(__xludf.DUMMYFUNCTION("IMPORTRANGE(""https://docs.google.com/spreadsheets/d/1ItG2mGa2ceCfYo0BwxsXqNm01IGEUdYcSSLTEv9YCik/edit?usp=sharing"",""เบิกจ่ายกองทุน!W30"")"),0)</f>
        <v>0</v>
      </c>
      <c r="T765" s="230">
        <f t="shared" ca="1" si="457"/>
        <v>0</v>
      </c>
      <c r="U765" s="230">
        <f t="shared" ca="1" si="458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IFERROR(__xludf.DUMMYFUNCTION("IMPORTRANGE(""https://docs.google.com/spreadsheets/d/1eHaY18a8A9IcSdp1K8H6x8fbOy06t2VsZHhMHf-1x7Y/edit?usp=sharing"",""แผน!FI30"")"),0)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IFERROR(__xludf.DUMMYFUNCTION("IMPORTRANGE(""https://docs.google.com/spreadsheets/d/1eHaY18a8A9IcSdp1K8H6x8fbOy06t2VsZHhMHf-1x7Y/edit?usp=sharing"",""แผน!FQ30"")"),80)</f>
        <v>80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IFERROR(__xludf.DUMMYFUNCTION("IMPORTRANGE(""https://docs.google.com/spreadsheets/d/1eHaY18a8A9IcSdp1K8H6x8fbOy06t2VsZHhMHf-1x7Y/edit?usp=sharing"",""แผน!FR30"")"),120)</f>
        <v>120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IFERROR(__xludf.DUMMYFUNCTION("IMPORTRANGE(""https://docs.google.com/spreadsheets/d/1eHaY18a8A9IcSdp1K8H6x8fbOy06t2VsZHhMHf-1x7Y/edit?usp=sharing"",""แผน!FS30"")"),120)</f>
        <v>120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IFERROR(__xludf.DUMMYFUNCTION("IMPORTRANGE(""https://docs.google.com/spreadsheets/d/1eHaY18a8A9IcSdp1K8H6x8fbOy06t2VsZHhMHf-1x7Y/edit?usp=sharing"",""แผน!FT30"")"),80)</f>
        <v>80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IFERROR(__xludf.DUMMYFUNCTION("IMPORTRANGE(""https://docs.google.com/spreadsheets/d/10OvvATaaLtwErnr3qtWFcTmtbfpFEt5Bsqel9sXx0uE/edit?usp=sharing"",""งานกองทุน!D30"")"),4015323.84)</f>
        <v>4015323.84</v>
      </c>
      <c r="J778" s="189">
        <f ca="1">IFERROR(__xludf.DUMMYFUNCTION("IMPORTRANGE(""https://docs.google.com/spreadsheets/d/10OvvATaaLtwErnr3qtWFcTmtbfpFEt5Bsqel9sXx0uE/edit?usp=sharing"",""งานกองทุน!F30"")"),1613219.33)</f>
        <v>1613219.33</v>
      </c>
      <c r="K778" s="230">
        <f t="shared" ref="K778:K785" ca="1" si="465">IF(I778&gt;0,J778*100/I778,0)</f>
        <v>40.17656842343257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IFERROR(__xludf.DUMMYFUNCTION("IMPORTRANGE(""https://docs.google.com/spreadsheets/d/10OvvATaaLtwErnr3qtWFcTmtbfpFEt5Bsqel9sXx0uE/edit?usp=sharing"",""งานกองทุน!C30"")"),211)</f>
        <v>211</v>
      </c>
      <c r="J779" s="189">
        <f ca="1">IFERROR(__xludf.DUMMYFUNCTION("IMPORTRANGE(""https://docs.google.com/spreadsheets/d/10OvvATaaLtwErnr3qtWFcTmtbfpFEt5Bsqel9sXx0uE/edit?usp=sharing"",""งานกองทุน!E30"")"),101)</f>
        <v>101</v>
      </c>
      <c r="K779" s="230">
        <f t="shared" ca="1" si="465"/>
        <v>47.867298578199055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9">
        <f ca="1">IFERROR(__xludf.DUMMYFUNCTION("IMPORTRANGE(""https://docs.google.com/spreadsheets/d/10OvvATaaLtwErnr3qtWFcTmtbfpFEt5Bsqel9sXx0uE/edit?usp=sharing"",""งานกองทุน!K30"")"),299210.05)</f>
        <v>299210.05</v>
      </c>
      <c r="K780" s="230">
        <f t="shared" ca="1" si="465"/>
        <v>4.0574989750277357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IFERROR(__xludf.DUMMYFUNCTION("IMPORTRANGE(""https://docs.google.com/spreadsheets/d/10OvvATaaLtwErnr3qtWFcTmtbfpFEt5Bsqel9sXx0uE/edit?usp=sharing"",""งานกองทุน!H30"")"),447)</f>
        <v>447</v>
      </c>
      <c r="J781" s="189">
        <f ca="1">IFERROR(__xludf.DUMMYFUNCTION("IMPORTRANGE(""https://docs.google.com/spreadsheets/d/10OvvATaaLtwErnr3qtWFcTmtbfpFEt5Bsqel9sXx0uE/edit?usp=sharing"",""งานกองทุน!J30"")"),39)</f>
        <v>39</v>
      </c>
      <c r="K781" s="230">
        <f t="shared" ca="1" si="465"/>
        <v>8.724832214765101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9">
        <f ca="1">IFERROR(__xludf.DUMMYFUNCTION("IMPORTRANGE(""https://docs.google.com/spreadsheets/d/10OvvATaaLtwErnr3qtWFcTmtbfpFEt5Bsqel9sXx0uE/edit?usp=sharing"",""งานกองทุน!P30"")"),439948.35)</f>
        <v>439948.35</v>
      </c>
      <c r="K782" s="230">
        <f t="shared" ca="1" si="465"/>
        <v>18.676175025541816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IFERROR(__xludf.DUMMYFUNCTION("IMPORTRANGE(""https://docs.google.com/spreadsheets/d/10OvvATaaLtwErnr3qtWFcTmtbfpFEt5Bsqel9sXx0uE/edit?usp=sharing"",""งานกองทุน!M30"")"),208)</f>
        <v>208</v>
      </c>
      <c r="J783" s="189">
        <f ca="1">IFERROR(__xludf.DUMMYFUNCTION("IMPORTRANGE(""https://docs.google.com/spreadsheets/d/10OvvATaaLtwErnr3qtWFcTmtbfpFEt5Bsqel9sXx0uE/edit?usp=sharing"",""งานกองทุน!O30"")"),42)</f>
        <v>42</v>
      </c>
      <c r="K783" s="230">
        <f t="shared" ca="1" si="465"/>
        <v>20.192307692307693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IFERROR(__xludf.DUMMYFUNCTION("IMPORTRANGE(""https://docs.google.com/spreadsheets/d/10OvvATaaLtwErnr3qtWFcTmtbfpFEt5Bsqel9sXx0uE/edit?usp=sharing"",""งานกองทุน!S30"")"),3136000)</f>
        <v>3136000</v>
      </c>
      <c r="J784" s="189">
        <f ca="1">IFERROR(__xludf.DUMMYFUNCTION("IMPORTRANGE(""https://docs.google.com/spreadsheets/d/10OvvATaaLtwErnr3qtWFcTmtbfpFEt5Bsqel9sXx0uE/edit?usp=sharing"",""งานกองทุน!U30"")"),0)</f>
        <v>0</v>
      </c>
      <c r="K784" s="230">
        <f t="shared" ca="1" si="465"/>
        <v>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IFERROR(__xludf.DUMMYFUNCTION("IMPORTRANGE(""https://docs.google.com/spreadsheets/d/10OvvATaaLtwErnr3qtWFcTmtbfpFEt5Bsqel9sXx0uE/edit?usp=sharing"",""งานกองทุน!R30"")"),112)</f>
        <v>112</v>
      </c>
      <c r="J785" s="194">
        <f ca="1">IFERROR(__xludf.DUMMYFUNCTION("IMPORTRANGE(""https://docs.google.com/spreadsheets/d/10OvvATaaLtwErnr3qtWFcTmtbfpFEt5Bsqel9sXx0uE/edit?usp=sharing"",""งานกองทุน!T30"")"),0)</f>
        <v>0</v>
      </c>
      <c r="K785" s="461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6F1FC-8C23-4EBB-A911-9561235AECC3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296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2275199</v>
      </c>
      <c r="M19" s="474">
        <f t="shared" ca="1" si="0"/>
        <v>2309638</v>
      </c>
      <c r="N19" s="474">
        <f t="shared" ca="1" si="0"/>
        <v>1308815.32</v>
      </c>
      <c r="O19" s="474">
        <f t="shared" ref="O19:O27" ca="1" si="1">IF(L19&gt;0,N19*100/L19,0)</f>
        <v>57.52531185184241</v>
      </c>
      <c r="P19" s="474">
        <f t="shared" ref="P19:P27" ca="1" si="2">IF(M19&gt;0,N19*100/M19,0)</f>
        <v>56.667552231128859</v>
      </c>
      <c r="Q19" s="474">
        <f t="shared" ref="Q19:S19" ca="1" si="3">Q20+Q21</f>
        <v>3281134.24</v>
      </c>
      <c r="R19" s="474">
        <f t="shared" ca="1" si="3"/>
        <v>2656134</v>
      </c>
      <c r="S19" s="474">
        <f t="shared" ca="1" si="3"/>
        <v>43700</v>
      </c>
      <c r="T19" s="474">
        <f t="shared" ref="T19:T27" ca="1" si="4">IF(Q19&gt;0,S19*100/Q19,0)</f>
        <v>1.3318565106924731</v>
      </c>
      <c r="U19" s="474">
        <f t="shared" ref="U19:U27" ca="1" si="5">IF(R19&gt;0,S19*100/R19,0)</f>
        <v>1.6452483195501433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2275199</v>
      </c>
      <c r="M21" s="480">
        <f t="shared" ca="1" si="6"/>
        <v>2309638</v>
      </c>
      <c r="N21" s="480">
        <f t="shared" ca="1" si="6"/>
        <v>1308815.32</v>
      </c>
      <c r="O21" s="480">
        <f t="shared" ca="1" si="1"/>
        <v>57.52531185184241</v>
      </c>
      <c r="P21" s="480">
        <f t="shared" ca="1" si="2"/>
        <v>56.667552231128859</v>
      </c>
      <c r="Q21" s="480">
        <f t="shared" ca="1" si="7"/>
        <v>3281134.24</v>
      </c>
      <c r="R21" s="480">
        <f t="shared" ca="1" si="7"/>
        <v>2656134</v>
      </c>
      <c r="S21" s="480">
        <f t="shared" ca="1" si="7"/>
        <v>43700</v>
      </c>
      <c r="T21" s="480">
        <f t="shared" ca="1" si="4"/>
        <v>1.3318565106924731</v>
      </c>
      <c r="U21" s="480">
        <f t="shared" ca="1" si="5"/>
        <v>1.6452483195501433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2275199</v>
      </c>
      <c r="M22" s="230">
        <f t="shared" ca="1" si="8"/>
        <v>2309638</v>
      </c>
      <c r="N22" s="230">
        <f t="shared" ca="1" si="8"/>
        <v>1308815.32</v>
      </c>
      <c r="O22" s="230">
        <f t="shared" ca="1" si="1"/>
        <v>57.52531185184241</v>
      </c>
      <c r="P22" s="230">
        <f t="shared" ca="1" si="2"/>
        <v>56.667552231128859</v>
      </c>
      <c r="Q22" s="230">
        <f t="shared" ref="Q22:S22" ca="1" si="9">Q23+Q24</f>
        <v>3281134.24</v>
      </c>
      <c r="R22" s="230">
        <f t="shared" ca="1" si="9"/>
        <v>2656134</v>
      </c>
      <c r="S22" s="230">
        <f t="shared" ca="1" si="9"/>
        <v>43700</v>
      </c>
      <c r="T22" s="230">
        <f t="shared" ca="1" si="4"/>
        <v>1.3318565106924731</v>
      </c>
      <c r="U22" s="230">
        <f t="shared" ca="1" si="5"/>
        <v>1.6452483195501433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2275199</v>
      </c>
      <c r="M24" s="230">
        <f t="shared" ca="1" si="10"/>
        <v>2309638</v>
      </c>
      <c r="N24" s="230">
        <f t="shared" ca="1" si="10"/>
        <v>1308815.32</v>
      </c>
      <c r="O24" s="230">
        <f t="shared" ca="1" si="1"/>
        <v>57.52531185184241</v>
      </c>
      <c r="P24" s="230">
        <f t="shared" ca="1" si="2"/>
        <v>56.667552231128859</v>
      </c>
      <c r="Q24" s="230">
        <f t="shared" ca="1" si="11"/>
        <v>3281134.24</v>
      </c>
      <c r="R24" s="230">
        <f t="shared" ca="1" si="11"/>
        <v>2656134</v>
      </c>
      <c r="S24" s="230">
        <f t="shared" ca="1" si="11"/>
        <v>43700</v>
      </c>
      <c r="T24" s="230">
        <f t="shared" ca="1" si="4"/>
        <v>1.3318565106924731</v>
      </c>
      <c r="U24" s="230">
        <f t="shared" ca="1" si="5"/>
        <v>1.6452483195501433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2275199</v>
      </c>
      <c r="M41" s="487">
        <f t="shared" ca="1" si="16"/>
        <v>2309638</v>
      </c>
      <c r="N41" s="487">
        <f t="shared" ca="1" si="16"/>
        <v>1308815.32</v>
      </c>
      <c r="O41" s="487">
        <f ca="1">IF(L41&gt;0,N41*100/L41,0)</f>
        <v>57.52531185184241</v>
      </c>
      <c r="P41" s="487">
        <f ca="1">IF(M41&gt;0,N41*100/M41,0)</f>
        <v>56.667552231128859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319029</v>
      </c>
      <c r="M45" s="491">
        <f t="shared" ca="1" si="17"/>
        <v>326098</v>
      </c>
      <c r="N45" s="491">
        <f t="shared" ca="1" si="17"/>
        <v>252032</v>
      </c>
      <c r="O45" s="491">
        <f t="shared" ref="O45:O53" ca="1" si="18">IF(L45&gt;0,N45*100/L45,0)</f>
        <v>78.999714759473278</v>
      </c>
      <c r="P45" s="491">
        <f t="shared" ref="P45:P53" ca="1" si="19">IF(M45&gt;0,N45*100/M45,0)</f>
        <v>77.287195873633081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319029</v>
      </c>
      <c r="M47" s="497">
        <f t="shared" ca="1" si="23"/>
        <v>326098</v>
      </c>
      <c r="N47" s="497">
        <f t="shared" ca="1" si="23"/>
        <v>252032</v>
      </c>
      <c r="O47" s="497">
        <f t="shared" ca="1" si="18"/>
        <v>78.999714759473278</v>
      </c>
      <c r="P47" s="497">
        <f t="shared" ca="1" si="19"/>
        <v>77.287195873633081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319029</v>
      </c>
      <c r="M48" s="230">
        <f t="shared" ca="1" si="25"/>
        <v>326098</v>
      </c>
      <c r="N48" s="230">
        <f t="shared" ca="1" si="25"/>
        <v>252032</v>
      </c>
      <c r="O48" s="230">
        <f t="shared" ca="1" si="18"/>
        <v>78.999714759473278</v>
      </c>
      <c r="P48" s="230">
        <f t="shared" ca="1" si="19"/>
        <v>77.287195873633081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IFERROR(__xludf.DUMMYFUNCTION("IMPORTRANGE(""https://docs.google.com/spreadsheets/d/1-uDff_7J0KD5mKrp0Vvzr7lt3OU09vwQwhkpOPPYv2Y/edit?usp=sharing"",""งบพรบ!P14"")"),319029)</f>
        <v>319029</v>
      </c>
      <c r="M50" s="230">
        <f ca="1">IFERROR(__xludf.DUMMYFUNCTION("IMPORTRANGE(""https://docs.google.com/spreadsheets/d/1-uDff_7J0KD5mKrp0Vvzr7lt3OU09vwQwhkpOPPYv2Y/edit?usp=sharing"",""งบพรบ!V14"")"),326098)</f>
        <v>326098</v>
      </c>
      <c r="N50" s="230">
        <f ca="1">IFERROR(__xludf.DUMMYFUNCTION("IMPORTRANGE(""https://docs.google.com/spreadsheets/d/1-uDff_7J0KD5mKrp0Vvzr7lt3OU09vwQwhkpOPPYv2Y/edit?usp=sharing"",""งบพรบ!Y14"")"),252032)</f>
        <v>252032</v>
      </c>
      <c r="O50" s="230">
        <f t="shared" ca="1" si="18"/>
        <v>78.999714759473278</v>
      </c>
      <c r="P50" s="230">
        <f t="shared" ca="1" si="19"/>
        <v>77.287195873633081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IFERROR(__xludf.DUMMYFUNCTION("IMPORTRANGE(""https://docs.google.com/spreadsheets/d/1-uDff_7J0KD5mKrp0Vvzr7lt3OU09vwQwhkpOPPYv2Y/edit?usp=sharing"",""งบพรบ!S14"")"),0)</f>
        <v>0</v>
      </c>
      <c r="M53" s="230">
        <f ca="1">IFERROR(__xludf.DUMMYFUNCTION("IMPORTRANGE(""https://docs.google.com/spreadsheets/d/1-uDff_7J0KD5mKrp0Vvzr7lt3OU09vwQwhkpOPPYv2Y/edit?usp=sharing"",""งบพรบ!W14"")"),0)</f>
        <v>0</v>
      </c>
      <c r="N53" s="230">
        <f ca="1">IFERROR(__xludf.DUMMYFUNCTION("IMPORTRANGE(""https://docs.google.com/spreadsheets/d/1-uDff_7J0KD5mKrp0Vvzr7lt3OU09vwQwhkpOPPYv2Y/edit?usp=sharing"",""งบพรบ!Z14"")"),0)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569900</v>
      </c>
      <c r="M60" s="502">
        <f t="shared" ca="1" si="29"/>
        <v>569900</v>
      </c>
      <c r="N60" s="502">
        <f t="shared" ca="1" si="29"/>
        <v>388962.87</v>
      </c>
      <c r="O60" s="502">
        <f t="shared" ref="O60:O68" ca="1" si="30">IF(L60&gt;0,N60*100/L60,0)</f>
        <v>68.251073872609226</v>
      </c>
      <c r="P60" s="502">
        <f t="shared" ref="P60:P68" ca="1" si="31">IF(M60&gt;0,N60*100/M60,0)</f>
        <v>68.251073872609226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569900</v>
      </c>
      <c r="M62" s="508">
        <f t="shared" ca="1" si="35"/>
        <v>569900</v>
      </c>
      <c r="N62" s="508">
        <f t="shared" ca="1" si="35"/>
        <v>388962.87</v>
      </c>
      <c r="O62" s="508">
        <f t="shared" ca="1" si="30"/>
        <v>68.251073872609226</v>
      </c>
      <c r="P62" s="508">
        <f t="shared" ca="1" si="31"/>
        <v>68.251073872609226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569900</v>
      </c>
      <c r="M63" s="230">
        <f t="shared" ca="1" si="37"/>
        <v>569900</v>
      </c>
      <c r="N63" s="230">
        <f t="shared" ca="1" si="37"/>
        <v>388962.87</v>
      </c>
      <c r="O63" s="230">
        <f t="shared" ca="1" si="30"/>
        <v>68.251073872609226</v>
      </c>
      <c r="P63" s="230">
        <f t="shared" ca="1" si="31"/>
        <v>68.251073872609226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IFERROR(__xludf.DUMMYFUNCTION("IMPORTRANGE(""https://docs.google.com/spreadsheets/d/1-uDff_7J0KD5mKrp0Vvzr7lt3OU09vwQwhkpOPPYv2Y/edit?usp=sharing"",""งบพรบ!AC14"")"),569900)</f>
        <v>569900</v>
      </c>
      <c r="M65" s="230">
        <f ca="1">IFERROR(__xludf.DUMMYFUNCTION("IMPORTRANGE(""https://docs.google.com/spreadsheets/d/1-uDff_7J0KD5mKrp0Vvzr7lt3OU09vwQwhkpOPPYv2Y/edit?usp=sharing"",""งบพรบ!AH14"")"),569900)</f>
        <v>569900</v>
      </c>
      <c r="N65" s="230">
        <f ca="1">IFERROR(__xludf.DUMMYFUNCTION("IMPORTRANGE(""https://docs.google.com/spreadsheets/d/1-uDff_7J0KD5mKrp0Vvzr7lt3OU09vwQwhkpOPPYv2Y/edit?usp=sharing"",""งบพรบ!AJ14"")"),388962.87)</f>
        <v>388962.87</v>
      </c>
      <c r="O65" s="230">
        <f t="shared" ca="1" si="30"/>
        <v>68.251073872609226</v>
      </c>
      <c r="P65" s="230">
        <f t="shared" ca="1" si="31"/>
        <v>68.251073872609226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IFERROR(__xludf.DUMMYFUNCTION("IMPORTRANGE(""https://docs.google.com/spreadsheets/d/1-uDff_7J0KD5mKrp0Vvzr7lt3OU09vwQwhkpOPPYv2Y/edit?usp=sharing"",""งบพรบ!AF14"")"),0)</f>
        <v>0</v>
      </c>
      <c r="M68" s="461">
        <f ca="1">IFERROR(__xludf.DUMMYFUNCTION("IMPORTRANGE(""https://docs.google.com/spreadsheets/d/1-uDff_7J0KD5mKrp0Vvzr7lt3OU09vwQwhkpOPPYv2Y/edit?usp=sharing"",""งบพรบ!AI14"")"),0)</f>
        <v>0</v>
      </c>
      <c r="N68" s="461">
        <f ca="1">IFERROR(__xludf.DUMMYFUNCTION("IMPORTRANGE(""https://docs.google.com/spreadsheets/d/1-uDff_7J0KD5mKrp0Vvzr7lt3OU09vwQwhkpOPPYv2Y/edit?usp=sharing"",""งบพรบ!AK14"")"),0)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hidden="1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hidden="1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hidden="1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hidden="1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hidden="1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IFERROR(__xludf.DUMMYFUNCTION("IMPORTRANGE(""https://docs.google.com/spreadsheets/d/1-uDff_7J0KD5mKrp0Vvzr7lt3OU09vwQwhkpOPPYv2Y/edit?usp=sharing"",""งบพรบ!AM14"")"),0)</f>
        <v>0</v>
      </c>
      <c r="M78" s="230">
        <f ca="1">IFERROR(__xludf.DUMMYFUNCTION("IMPORTRANGE(""https://docs.google.com/spreadsheets/d/1-uDff_7J0KD5mKrp0Vvzr7lt3OU09vwQwhkpOPPYv2Y/edit?usp=sharing"",""งบพรบ!AR14"")"),0)</f>
        <v>0</v>
      </c>
      <c r="N78" s="230">
        <f ca="1">IFERROR(__xludf.DUMMYFUNCTION("IMPORTRANGE(""https://docs.google.com/spreadsheets/d/1-uDff_7J0KD5mKrp0Vvzr7lt3OU09vwQwhkpOPPYv2Y/edit?usp=sharing"",""งบพรบ!AT14"")"),0)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IFERROR(__xludf.DUMMYFUNCTION("IMPORTRANGE(""https://docs.google.com/spreadsheets/d/1ItG2mGa2ceCfYo0BwxsXqNm01IGEUdYcSSLTEv9YCik/edit?usp=sharing"",""เบิกจ่ายกองทุน!AS14"")"),0)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IFERROR(__xludf.DUMMYFUNCTION("IMPORTRANGE(""https://docs.google.com/spreadsheets/d/1ItG2mGa2ceCfYo0BwxsXqNm01IGEUdYcSSLTEv9YCik/edit?usp=sharing"",""เบิกจ่ายกองทุน!AT14"")"),0)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IFERROR(__xludf.DUMMYFUNCTION("IMPORTRANGE(""https://docs.google.com/spreadsheets/d/1ItG2mGa2ceCfYo0BwxsXqNm01IGEUdYcSSLTEv9YCik/edit?usp=sharing"",""เบิกจ่ายกองทุน!AU14"")"),0)</f>
        <v>0</v>
      </c>
      <c r="T78" s="230">
        <f t="shared" ca="1" si="47"/>
        <v>0</v>
      </c>
      <c r="U78" s="230">
        <f t="shared" ca="1" si="48"/>
        <v>0</v>
      </c>
    </row>
    <row r="79" spans="1:21" ht="18.75" hidden="1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IFERROR(__xludf.DUMMYFUNCTION("IMPORTRANGE(""https://docs.google.com/spreadsheets/d/1-uDff_7J0KD5mKrp0Vvzr7lt3OU09vwQwhkpOPPYv2Y/edit?usp=sharing"",""งบพรบ!AP14"")"),0)</f>
        <v>0</v>
      </c>
      <c r="M81" s="230">
        <f ca="1">IFERROR(__xludf.DUMMYFUNCTION("IMPORTRANGE(""https://docs.google.com/spreadsheets/d/1-uDff_7J0KD5mKrp0Vvzr7lt3OU09vwQwhkpOPPYv2Y/edit?usp=sharing"",""งบพรบ!AS14"")"),0)</f>
        <v>0</v>
      </c>
      <c r="N81" s="230">
        <f ca="1">IFERROR(__xludf.DUMMYFUNCTION("IMPORTRANGE(""https://docs.google.com/spreadsheets/d/1-uDff_7J0KD5mKrp0Vvzr7lt3OU09vwQwhkpOPPYv2Y/edit?usp=sharing"",""งบพรบ!AU14"")"),0)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hidden="1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hidden="1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hidden="1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hidden="1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IFERROR(__xludf.DUMMYFUNCTION("IMPORTRANGE(""https://docs.google.com/spreadsheets/d/1eHaY18a8A9IcSdp1K8H6x8fbOy06t2VsZHhMHf-1x7Y/edit?usp=sharing"",""แผน!H14"")"),0)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hidden="1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IFERROR(__xludf.DUMMYFUNCTION("IMPORTRANGE(""https://docs.google.com/spreadsheets/d/1eHaY18a8A9IcSdp1K8H6x8fbOy06t2VsZHhMHf-1x7Y/edit?usp=sharing"",""แผน!I14"")"),0)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hidden="1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IFERROR(__xludf.DUMMYFUNCTION("IMPORTRANGE(""https://docs.google.com/spreadsheets/d/1eHaY18a8A9IcSdp1K8H6x8fbOy06t2VsZHhMHf-1x7Y/edit?usp=sharing"",""แผน!F14"")"),0)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hidden="1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IFERROR(__xludf.DUMMYFUNCTION("IMPORTRANGE(""https://docs.google.com/spreadsheets/d/1eHaY18a8A9IcSdp1K8H6x8fbOy06t2VsZHhMHf-1x7Y/edit?usp=sharing"",""แผน!G14"")"),0)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hidden="1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IFERROR(__xludf.DUMMYFUNCTION("IMPORTRANGE(""https://docs.google.com/spreadsheets/d/1eHaY18a8A9IcSdp1K8H6x8fbOy06t2VsZHhMHf-1x7Y/edit?usp=sharing"",""แผน!D14"")"),0)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hidden="1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IFERROR(__xludf.DUMMYFUNCTION("IMPORTRANGE(""https://docs.google.com/spreadsheets/d/1eHaY18a8A9IcSdp1K8H6x8fbOy06t2VsZHhMHf-1x7Y/edit?usp=sharing"",""แผน!E14"")"),0)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hidden="1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IFERROR(__xludf.DUMMYFUNCTION("IMPORTRANGE(""https://docs.google.com/spreadsheets/d/1eHaY18a8A9IcSdp1K8H6x8fbOy06t2VsZHhMHf-1x7Y/edit?usp=sharing"",""แผน!J14"")"),0)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IFERROR(__xludf.DUMMYFUNCTION("IMPORTRANGE(""https://docs.google.com/spreadsheets/d/1-uDff_7J0KD5mKrp0Vvzr7lt3OU09vwQwhkpOPPYv2Y/edit?usp=sharing"",""งบพรบ!AW14"")"),0)</f>
        <v>0</v>
      </c>
      <c r="M100" s="230">
        <f ca="1">IFERROR(__xludf.DUMMYFUNCTION("IMPORTRANGE(""https://docs.google.com/spreadsheets/d/1-uDff_7J0KD5mKrp0Vvzr7lt3OU09vwQwhkpOPPYv2Y/edit?usp=sharing"",""งบพรบ!BB14"")"),0)</f>
        <v>0</v>
      </c>
      <c r="N100" s="230">
        <f ca="1">IFERROR(__xludf.DUMMYFUNCTION("IMPORTRANGE(""https://docs.google.com/spreadsheets/d/1-uDff_7J0KD5mKrp0Vvzr7lt3OU09vwQwhkpOPPYv2Y/edit?usp=sharing"",""งบพรบ!BD14"")"),0)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IFERROR(__xludf.DUMMYFUNCTION("IMPORTRANGE(""https://docs.google.com/spreadsheets/d/1ItG2mGa2ceCfYo0BwxsXqNm01IGEUdYcSSLTEv9YCik/edit?usp=sharing"",""เบิกจ่ายกองทุน!AD14"")"),0)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IFERROR(__xludf.DUMMYFUNCTION("IMPORTRANGE(""https://docs.google.com/spreadsheets/d/1ItG2mGa2ceCfYo0BwxsXqNm01IGEUdYcSSLTEv9YCik/edit?usp=sharing"",""เบิกจ่ายกองทุน!AE14"")"),0)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IFERROR(__xludf.DUMMYFUNCTION("IMPORTRANGE(""https://docs.google.com/spreadsheets/d/1ItG2mGa2ceCfYo0BwxsXqNm01IGEUdYcSSLTEv9YCik/edit?usp=sharing"",""เบิกจ่ายกองทุน!AF14"")"),0)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IFERROR(__xludf.DUMMYFUNCTION("IMPORTRANGE(""https://docs.google.com/spreadsheets/d/1-uDff_7J0KD5mKrp0Vvzr7lt3OU09vwQwhkpOPPYv2Y/edit?usp=sharing"",""งบพรบ!AZ14"")"),0)</f>
        <v>0</v>
      </c>
      <c r="M103" s="230">
        <f ca="1">IFERROR(__xludf.DUMMYFUNCTION("IMPORTRANGE(""https://docs.google.com/spreadsheets/d/1-uDff_7J0KD5mKrp0Vvzr7lt3OU09vwQwhkpOPPYv2Y/edit?usp=sharing"",""งบพรบ!BC14"")"),0)</f>
        <v>0</v>
      </c>
      <c r="N103" s="230">
        <f ca="1">IFERROR(__xludf.DUMMYFUNCTION("IMPORTRANGE(""https://docs.google.com/spreadsheets/d/1-uDff_7J0KD5mKrp0Vvzr7lt3OU09vwQwhkpOPPYv2Y/edit?usp=sharing"",""งบพรบ!BE14"")"),0)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IFERROR(__xludf.DUMMYFUNCTION("IMPORTRANGE(""https://docs.google.com/spreadsheets/d/1eHaY18a8A9IcSdp1K8H6x8fbOy06t2VsZHhMHf-1x7Y/edit?usp=sharing"",""แผน!N14"")"),0)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IFERROR(__xludf.DUMMYFUNCTION("IMPORTRANGE(""https://docs.google.com/spreadsheets/d/1eHaY18a8A9IcSdp1K8H6x8fbOy06t2VsZHhMHf-1x7Y/edit?usp=sharing"",""แผน!O14"")"),0)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IFERROR(__xludf.DUMMYFUNCTION("IMPORTRANGE(""https://docs.google.com/spreadsheets/d/1eHaY18a8A9IcSdp1K8H6x8fbOy06t2VsZHhMHf-1x7Y/edit?usp=sharing"",""แผน!R14"")"),0)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70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333320</v>
      </c>
      <c r="R118" s="515">
        <f t="shared" ca="1" si="76"/>
        <v>333320</v>
      </c>
      <c r="S118" s="515">
        <f t="shared" ca="1" si="76"/>
        <v>0</v>
      </c>
      <c r="T118" s="515">
        <f t="shared" ref="T118:T126" ca="1" si="77">IF(Q118&gt;0,S118*100/Q118,0)</f>
        <v>0</v>
      </c>
      <c r="U118" s="515">
        <f t="shared" ref="U118:U126" ca="1" si="78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333320</v>
      </c>
      <c r="R120" s="230">
        <f t="shared" ca="1" si="80"/>
        <v>333320</v>
      </c>
      <c r="S120" s="230">
        <f t="shared" ca="1" si="80"/>
        <v>0</v>
      </c>
      <c r="T120" s="230">
        <f t="shared" ca="1" si="77"/>
        <v>0</v>
      </c>
      <c r="U120" s="230">
        <f t="shared" ca="1" si="78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333320</v>
      </c>
      <c r="R121" s="230">
        <f t="shared" ca="1" si="82"/>
        <v>333320</v>
      </c>
      <c r="S121" s="230">
        <f t="shared" ca="1" si="82"/>
        <v>0</v>
      </c>
      <c r="T121" s="230">
        <f t="shared" ca="1" si="77"/>
        <v>0</v>
      </c>
      <c r="U121" s="230">
        <f t="shared" ca="1" si="78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IFERROR(__xludf.DUMMYFUNCTION("IMPORTRANGE(""https://docs.google.com/spreadsheets/d/1-uDff_7J0KD5mKrp0Vvzr7lt3OU09vwQwhkpOPPYv2Y/edit?usp=sharing"",""งบพรบ!BG14"")"),0)</f>
        <v>0</v>
      </c>
      <c r="M123" s="230">
        <f ca="1">IFERROR(__xludf.DUMMYFUNCTION("IMPORTRANGE(""https://docs.google.com/spreadsheets/d/1-uDff_7J0KD5mKrp0Vvzr7lt3OU09vwQwhkpOPPYv2Y/edit?usp=sharing"",""งบพรบ!BL14"")"),0)</f>
        <v>0</v>
      </c>
      <c r="N123" s="230">
        <f ca="1">IFERROR(__xludf.DUMMYFUNCTION("IMPORTRANGE(""https://docs.google.com/spreadsheets/d/1-uDff_7J0KD5mKrp0Vvzr7lt3OU09vwQwhkpOPPYv2Y/edit?usp=sharing"",""งบพรบ!BN14"")"),0)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IFERROR(__xludf.DUMMYFUNCTION("IMPORTRANGE(""https://docs.google.com/spreadsheets/d/1ItG2mGa2ceCfYo0BwxsXqNm01IGEUdYcSSLTEv9YCik/edit?usp=sharing"",""เบิกจ่ายกองทุน!R14"")"),333320)</f>
        <v>333320</v>
      </c>
      <c r="R123" s="230">
        <f ca="1">IFERROR(__xludf.DUMMYFUNCTION("IMPORTRANGE(""https://docs.google.com/spreadsheets/d/1ItG2mGa2ceCfYo0BwxsXqNm01IGEUdYcSSLTEv9YCik/edit?usp=sharing"",""เบิกจ่ายกองทุน!S14"")"),333320)</f>
        <v>333320</v>
      </c>
      <c r="S123" s="230">
        <f ca="1">IFERROR(__xludf.DUMMYFUNCTION("IMPORTRANGE(""https://docs.google.com/spreadsheets/d/1ItG2mGa2ceCfYo0BwxsXqNm01IGEUdYcSSLTEv9YCik/edit?usp=sharing"",""เบิกจ่ายกองทุน!T14"")"),0)</f>
        <v>0</v>
      </c>
      <c r="T123" s="230">
        <f t="shared" ca="1" si="77"/>
        <v>0</v>
      </c>
      <c r="U123" s="230">
        <f t="shared" ca="1" si="78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IFERROR(__xludf.DUMMYFUNCTION("IMPORTRANGE(""https://docs.google.com/spreadsheets/d/1-uDff_7J0KD5mKrp0Vvzr7lt3OU09vwQwhkpOPPYv2Y/edit?usp=sharing"",""งบพรบ!BJ14"")"),0)</f>
        <v>0</v>
      </c>
      <c r="M126" s="230">
        <f ca="1">IFERROR(__xludf.DUMMYFUNCTION("IMPORTRANGE(""https://docs.google.com/spreadsheets/d/1-uDff_7J0KD5mKrp0Vvzr7lt3OU09vwQwhkpOPPYv2Y/edit?usp=sharing"",""งบพรบ!BM14"")"),0)</f>
        <v>0</v>
      </c>
      <c r="N126" s="230">
        <f ca="1">IFERROR(__xludf.DUMMYFUNCTION("IMPORTRANGE(""https://docs.google.com/spreadsheets/d/1-uDff_7J0KD5mKrp0Vvzr7lt3OU09vwQwhkpOPPYv2Y/edit?usp=sharing"",""งบพรบ!BO14"")"),0)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IFERROR(__xludf.DUMMYFUNCTION("IMPORTRANGE(""https://docs.google.com/spreadsheets/d/1eHaY18a8A9IcSdp1K8H6x8fbOy06t2VsZHhMHf-1x7Y/edit?usp=sharing"",""แผน!FF14"")"),70)</f>
        <v>70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IFERROR(__xludf.DUMMYFUNCTION("IMPORTRANGE(""https://docs.google.com/spreadsheets/d/1eHaY18a8A9IcSdp1K8H6x8fbOy06t2VsZHhMHf-1x7Y/edit?usp=sharing"",""แผน!FG14"")"),0)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IFERROR(__xludf.DUMMYFUNCTION("IMPORTRANGE(""https://docs.google.com/spreadsheets/d/1eHaY18a8A9IcSdp1K8H6x8fbOy06t2VsZHhMHf-1x7Y/edit?usp=sharing"",""แผน!FH14"")"),20)</f>
        <v>20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IFERROR(__xludf.DUMMYFUNCTION("IMPORTRANGE(""https://docs.google.com/spreadsheets/d/1eHaY18a8A9IcSdp1K8H6x8fbOy06t2VsZHhMHf-1x7Y/edit?usp=sharing"",""แผน!FI14"")"),0)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0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0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0</v>
      </c>
      <c r="M140" s="515">
        <f t="shared" ca="1" si="89"/>
        <v>0</v>
      </c>
      <c r="N140" s="515">
        <f t="shared" ca="1" si="89"/>
        <v>0</v>
      </c>
      <c r="O140" s="515">
        <f t="shared" ref="O140:O148" ca="1" si="90">IF(L140&gt;0,N140*100/L140,0)</f>
        <v>0</v>
      </c>
      <c r="P140" s="515">
        <f t="shared" ref="P140:P148" ca="1" si="91">IF(M140&gt;0,N140*100/M140,0)</f>
        <v>0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0</v>
      </c>
      <c r="M142" s="230">
        <f t="shared" ca="1" si="95"/>
        <v>0</v>
      </c>
      <c r="N142" s="230">
        <f t="shared" ca="1" si="95"/>
        <v>0</v>
      </c>
      <c r="O142" s="230">
        <f t="shared" ca="1" si="90"/>
        <v>0</v>
      </c>
      <c r="P142" s="230">
        <f t="shared" ca="1" si="91"/>
        <v>0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0</v>
      </c>
      <c r="M143" s="230">
        <f t="shared" ca="1" si="97"/>
        <v>0</v>
      </c>
      <c r="N143" s="230">
        <f t="shared" ca="1" si="97"/>
        <v>0</v>
      </c>
      <c r="O143" s="230">
        <f t="shared" ca="1" si="90"/>
        <v>0</v>
      </c>
      <c r="P143" s="230">
        <f t="shared" ca="1" si="91"/>
        <v>0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IFERROR(__xludf.DUMMYFUNCTION("IMPORTRANGE(""https://docs.google.com/spreadsheets/d/1-uDff_7J0KD5mKrp0Vvzr7lt3OU09vwQwhkpOPPYv2Y/edit?usp=sharing"",""งบพรบ!BQ14"")"),0)</f>
        <v>0</v>
      </c>
      <c r="M145" s="230">
        <f ca="1">IFERROR(__xludf.DUMMYFUNCTION("IMPORTRANGE(""https://docs.google.com/spreadsheets/d/1-uDff_7J0KD5mKrp0Vvzr7lt3OU09vwQwhkpOPPYv2Y/edit?usp=sharing"",""งบพรบ!BV14"")"),0)</f>
        <v>0</v>
      </c>
      <c r="N145" s="230">
        <f ca="1">IFERROR(__xludf.DUMMYFUNCTION("IMPORTRANGE(""https://docs.google.com/spreadsheets/d/1-uDff_7J0KD5mKrp0Vvzr7lt3OU09vwQwhkpOPPYv2Y/edit?usp=sharing"",""งบพรบ!BX14"")"),0)</f>
        <v>0</v>
      </c>
      <c r="O145" s="230">
        <f t="shared" ca="1" si="90"/>
        <v>0</v>
      </c>
      <c r="P145" s="230">
        <f t="shared" ca="1" si="91"/>
        <v>0</v>
      </c>
      <c r="Q145" s="230">
        <f ca="1">IFERROR(__xludf.DUMMYFUNCTION("IMPORTRANGE(""https://docs.google.com/spreadsheets/d/1ItG2mGa2ceCfYo0BwxsXqNm01IGEUdYcSSLTEv9YCik/edit?usp=sharing"",""เบิกจ่ายกองทุน!BB14"")"),0)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IFERROR(__xludf.DUMMYFUNCTION("IMPORTRANGE(""https://docs.google.com/spreadsheets/d/1ItG2mGa2ceCfYo0BwxsXqNm01IGEUdYcSSLTEv9YCik/edit?usp=sharing"",""เบิกจ่ายกองทุน!BC14"")"),0)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IFERROR(__xludf.DUMMYFUNCTION("IMPORTRANGE(""https://docs.google.com/spreadsheets/d/1ItG2mGa2ceCfYo0BwxsXqNm01IGEUdYcSSLTEv9YCik/edit?usp=sharing"",""เบิกจ่ายกองทุน!BD14"")"),0)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IFERROR(__xludf.DUMMYFUNCTION("IMPORTRANGE(""https://docs.google.com/spreadsheets/d/1-uDff_7J0KD5mKrp0Vvzr7lt3OU09vwQwhkpOPPYv2Y/edit?usp=sharing"",""งบพรบ!BT14"")"),0)</f>
        <v>0</v>
      </c>
      <c r="M148" s="230">
        <f ca="1">IFERROR(__xludf.DUMMYFUNCTION("IMPORTRANGE(""https://docs.google.com/spreadsheets/d/1-uDff_7J0KD5mKrp0Vvzr7lt3OU09vwQwhkpOPPYv2Y/edit?usp=sharing"",""งบพรบ!BW14"")"),0)</f>
        <v>0</v>
      </c>
      <c r="N148" s="230">
        <f ca="1">IFERROR(__xludf.DUMMYFUNCTION("IMPORTRANGE(""https://docs.google.com/spreadsheets/d/1-uDff_7J0KD5mKrp0Vvzr7lt3OU09vwQwhkpOPPYv2Y/edit?usp=sharing"",""งบพรบ!BY14"")"),0)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IFERROR(__xludf.DUMMYFUNCTION("IMPORTRANGE(""https://docs.google.com/spreadsheets/d/1eHaY18a8A9IcSdp1K8H6x8fbOy06t2VsZHhMHf-1x7Y/edit?usp=sharing"",""แผน!U14"")"),0)</f>
        <v>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IFERROR(__xludf.DUMMYFUNCTION("IMPORTRANGE(""https://docs.google.com/spreadsheets/d/1eHaY18a8A9IcSdp1K8H6x8fbOy06t2VsZHhMHf-1x7Y/edit?usp=sharing"",""แผน!V14"")"),0)</f>
        <v>0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IFERROR(__xludf.DUMMYFUNCTION("IMPORTRANGE(""https://docs.google.com/spreadsheets/d/1eHaY18a8A9IcSdp1K8H6x8fbOy06t2VsZHhMHf-1x7Y/edit?usp=sharing"",""แผน!W14"")"),0)</f>
        <v>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IFERROR(__xludf.DUMMYFUNCTION("IMPORTRANGE(""https://docs.google.com/spreadsheets/d/1eHaY18a8A9IcSdp1K8H6x8fbOy06t2VsZHhMHf-1x7Y/edit?usp=sharing"",""แผน!X14"")"),0)</f>
        <v>0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IFERROR(__xludf.DUMMYFUNCTION("IMPORTRANGE(""https://docs.google.com/spreadsheets/d/1eHaY18a8A9IcSdp1K8H6x8fbOy06t2VsZHhMHf-1x7Y/edit?usp=sharing"",""แผน!Y14"")"),0)</f>
        <v>0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I170</f>
        <v>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0</v>
      </c>
      <c r="M158" s="515">
        <f t="shared" ca="1" si="103"/>
        <v>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0</v>
      </c>
      <c r="M160" s="230">
        <f t="shared" ca="1" si="109"/>
        <v>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0</v>
      </c>
      <c r="M161" s="230">
        <f t="shared" ca="1" si="111"/>
        <v>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IFERROR(__xludf.DUMMYFUNCTION("IMPORTRANGE(""https://docs.google.com/spreadsheets/d/1-uDff_7J0KD5mKrp0Vvzr7lt3OU09vwQwhkpOPPYv2Y/edit?usp=sharing"",""งบพรบ!CA14"")"),0)</f>
        <v>0</v>
      </c>
      <c r="M163" s="230">
        <f ca="1">IFERROR(__xludf.DUMMYFUNCTION("IMPORTRANGE(""https://docs.google.com/spreadsheets/d/1-uDff_7J0KD5mKrp0Vvzr7lt3OU09vwQwhkpOPPYv2Y/edit?usp=sharing"",""งบพรบ!CF14"")"),0)</f>
        <v>0</v>
      </c>
      <c r="N163" s="230">
        <f ca="1">IFERROR(__xludf.DUMMYFUNCTION("IMPORTRANGE(""https://docs.google.com/spreadsheets/d/1-uDff_7J0KD5mKrp0Vvzr7lt3OU09vwQwhkpOPPYv2Y/edit?usp=sharing"",""งบพรบ!CH14"")"),0)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IFERROR(__xludf.DUMMYFUNCTION("IMPORTRANGE(""https://docs.google.com/spreadsheets/d/1ItG2mGa2ceCfYo0BwxsXqNm01IGEUdYcSSLTEv9YCik/edit?usp=sharing"",""เบิกจ่ายกองทุน!AG14"")"),0)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IFERROR(__xludf.DUMMYFUNCTION("IMPORTRANGE(""https://docs.google.com/spreadsheets/d/1ItG2mGa2ceCfYo0BwxsXqNm01IGEUdYcSSLTEv9YCik/edit?usp=sharing"",""เบิกจ่ายกองทุน!AH14"")"),0)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IFERROR(__xludf.DUMMYFUNCTION("IMPORTRANGE(""https://docs.google.com/spreadsheets/d/1ItG2mGa2ceCfYo0BwxsXqNm01IGEUdYcSSLTEv9YCik/edit?usp=sharing"",""เบิกจ่ายกองทุน!AI14"")"),0)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IFERROR(__xludf.DUMMYFUNCTION("IMPORTRANGE(""https://docs.google.com/spreadsheets/d/1-uDff_7J0KD5mKrp0Vvzr7lt3OU09vwQwhkpOPPYv2Y/edit?usp=sharing"",""งบพรบ!CD14"")"),0)</f>
        <v>0</v>
      </c>
      <c r="M166" s="230">
        <f ca="1">IFERROR(__xludf.DUMMYFUNCTION("IMPORTRANGE(""https://docs.google.com/spreadsheets/d/1-uDff_7J0KD5mKrp0Vvzr7lt3OU09vwQwhkpOPPYv2Y/edit?usp=sharing"",""งบพรบ!CG14"")"),0)</f>
        <v>0</v>
      </c>
      <c r="N166" s="230">
        <f ca="1">IFERROR(__xludf.DUMMYFUNCTION("IMPORTRANGE(""https://docs.google.com/spreadsheets/d/1-uDff_7J0KD5mKrp0Vvzr7lt3OU09vwQwhkpOPPYv2Y/edit?usp=sharing"",""งบพรบ!CI14"")"),0)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IFERROR(__xludf.DUMMYFUNCTION("IMPORTRANGE(""https://docs.google.com/spreadsheets/d/1eHaY18a8A9IcSdp1K8H6x8fbOy06t2VsZHhMHf-1x7Y/edit?usp=sharing"",""แผน!Z14"")"),0)</f>
        <v>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IFERROR(__xludf.DUMMYFUNCTION("IMPORTRANGE(""https://docs.google.com/spreadsheets/d/1eHaY18a8A9IcSdp1K8H6x8fbOy06t2VsZHhMHf-1x7Y/edit?usp=sharing"",""แผน!Z14"")"),0)</f>
        <v>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IFERROR(__xludf.DUMMYFUNCTION("IMPORTRANGE(""https://docs.google.com/spreadsheets/d/1eHaY18a8A9IcSdp1K8H6x8fbOy06t2VsZHhMHf-1x7Y/edit?usp=sharing"",""แผน!Z14"")"),0)</f>
        <v>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31260</v>
      </c>
      <c r="N174" s="515">
        <f t="shared" ca="1" si="117"/>
        <v>0</v>
      </c>
      <c r="O174" s="515">
        <f t="shared" ref="O174:O182" ca="1" si="118">IF(L174&gt;0,N174*100/L174,0)</f>
        <v>0</v>
      </c>
      <c r="P174" s="515">
        <f t="shared" ref="P174:P182" ca="1" si="119">IF(M174&gt;0,N174*100/M174,0)</f>
        <v>0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31260</v>
      </c>
      <c r="N176" s="230">
        <f t="shared" ca="1" si="123"/>
        <v>0</v>
      </c>
      <c r="O176" s="230">
        <f t="shared" ca="1" si="118"/>
        <v>0</v>
      </c>
      <c r="P176" s="230">
        <f t="shared" ca="1" si="119"/>
        <v>0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31260</v>
      </c>
      <c r="N177" s="230">
        <f t="shared" ca="1" si="125"/>
        <v>0</v>
      </c>
      <c r="O177" s="230">
        <f t="shared" ca="1" si="118"/>
        <v>0</v>
      </c>
      <c r="P177" s="230">
        <f t="shared" ca="1" si="119"/>
        <v>0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IFERROR(__xludf.DUMMYFUNCTION("IMPORTRANGE(""https://docs.google.com/spreadsheets/d/1-uDff_7J0KD5mKrp0Vvzr7lt3OU09vwQwhkpOPPYv2Y/edit?usp=sharing"",""งบพรบ!CK14"")"),19590)</f>
        <v>19590</v>
      </c>
      <c r="M179" s="230">
        <f ca="1">IFERROR(__xludf.DUMMYFUNCTION("IMPORTRANGE(""https://docs.google.com/spreadsheets/d/1-uDff_7J0KD5mKrp0Vvzr7lt3OU09vwQwhkpOPPYv2Y/edit?usp=sharing"",""งบพรบ!CP14"")"),31260)</f>
        <v>31260</v>
      </c>
      <c r="N179" s="230">
        <f ca="1">IFERROR(__xludf.DUMMYFUNCTION("IMPORTRANGE(""https://docs.google.com/spreadsheets/d/1-uDff_7J0KD5mKrp0Vvzr7lt3OU09vwQwhkpOPPYv2Y/edit?usp=sharing"",""งบพรบ!CR14"")"),0)</f>
        <v>0</v>
      </c>
      <c r="O179" s="230">
        <f t="shared" ca="1" si="118"/>
        <v>0</v>
      </c>
      <c r="P179" s="230">
        <f t="shared" ca="1" si="119"/>
        <v>0</v>
      </c>
      <c r="Q179" s="230">
        <f ca="1">IFERROR(__xludf.DUMMYFUNCTION("IMPORTRANGE(""https://docs.google.com/spreadsheets/d/1ItG2mGa2ceCfYo0BwxsXqNm01IGEUdYcSSLTEv9YCik/edit?usp=sharing"",""เบิกจ่ายกองทุน!BE14"")"),0)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IFERROR(__xludf.DUMMYFUNCTION("IMPORTRANGE(""https://docs.google.com/spreadsheets/d/1ItG2mGa2ceCfYo0BwxsXqNm01IGEUdYcSSLTEv9YCik/edit?usp=sharing"",""เบิกจ่ายกองทุน!BF14"")"),0)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IFERROR(__xludf.DUMMYFUNCTION("IMPORTRANGE(""https://docs.google.com/spreadsheets/d/1ItG2mGa2ceCfYo0BwxsXqNm01IGEUdYcSSLTEv9YCik/edit?usp=sharing"",""เบิกจ่ายกองทุน!BG14"")"),0)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IFERROR(__xludf.DUMMYFUNCTION("IMPORTRANGE(""https://docs.google.com/spreadsheets/d/1-uDff_7J0KD5mKrp0Vvzr7lt3OU09vwQwhkpOPPYv2Y/edit?usp=sharing"",""งบพรบ!CN14"")"),0)</f>
        <v>0</v>
      </c>
      <c r="M182" s="230">
        <f ca="1">IFERROR(__xludf.DUMMYFUNCTION("IMPORTRANGE(""https://docs.google.com/spreadsheets/d/1-uDff_7J0KD5mKrp0Vvzr7lt3OU09vwQwhkpOPPYv2Y/edit?usp=sharing"",""งบพรบ!CQ14"")"),0)</f>
        <v>0</v>
      </c>
      <c r="N182" s="230">
        <f ca="1">IFERROR(__xludf.DUMMYFUNCTION("IMPORTRANGE(""https://docs.google.com/spreadsheets/d/1-uDff_7J0KD5mKrp0Vvzr7lt3OU09vwQwhkpOPPYv2Y/edit?usp=sharing"",""งบพรบ!CS14"")"),0)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IFERROR(__xludf.DUMMYFUNCTION("IMPORTRANGE(""https://docs.google.com/spreadsheets/d/1eHaY18a8A9IcSdp1K8H6x8fbOy06t2VsZHhMHf-1x7Y/edit?usp=sharing"",""แผน!AA14"")"),7)</f>
        <v>7</v>
      </c>
      <c r="J184" s="520">
        <v>0</v>
      </c>
      <c r="K184" s="230">
        <f t="shared" ref="K184:K186" ca="1" si="129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235500</v>
      </c>
      <c r="M187" s="515">
        <f t="shared" ca="1" si="131"/>
        <v>241200</v>
      </c>
      <c r="N187" s="515">
        <f t="shared" ca="1" si="131"/>
        <v>105000</v>
      </c>
      <c r="O187" s="515">
        <f t="shared" ref="O187:O195" ca="1" si="132">IF(L187&gt;0,N187*100/L187,0)</f>
        <v>44.585987261146499</v>
      </c>
      <c r="P187" s="515">
        <f t="shared" ref="P187:P195" ca="1" si="133">IF(M187&gt;0,N187*100/M187,0)</f>
        <v>43.53233830845771</v>
      </c>
      <c r="Q187" s="515">
        <f t="shared" ref="Q187:S187" ca="1" si="134">Q188+Q189</f>
        <v>18000</v>
      </c>
      <c r="R187" s="515">
        <f t="shared" ca="1" si="134"/>
        <v>18000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235500</v>
      </c>
      <c r="M189" s="230">
        <f t="shared" ca="1" si="137"/>
        <v>241200</v>
      </c>
      <c r="N189" s="230">
        <f t="shared" ca="1" si="137"/>
        <v>105000</v>
      </c>
      <c r="O189" s="230">
        <f t="shared" ca="1" si="132"/>
        <v>44.585987261146499</v>
      </c>
      <c r="P189" s="230">
        <f t="shared" ca="1" si="133"/>
        <v>43.53233830845771</v>
      </c>
      <c r="Q189" s="230">
        <f t="shared" ca="1" si="138"/>
        <v>18000</v>
      </c>
      <c r="R189" s="230">
        <f t="shared" ca="1" si="138"/>
        <v>18000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235500</v>
      </c>
      <c r="M190" s="230">
        <f t="shared" ca="1" si="139"/>
        <v>241200</v>
      </c>
      <c r="N190" s="230">
        <f t="shared" ca="1" si="139"/>
        <v>105000</v>
      </c>
      <c r="O190" s="230">
        <f t="shared" ca="1" si="132"/>
        <v>44.585987261146499</v>
      </c>
      <c r="P190" s="230">
        <f t="shared" ca="1" si="133"/>
        <v>43.53233830845771</v>
      </c>
      <c r="Q190" s="230">
        <f t="shared" ref="Q190:S190" ca="1" si="140">Q191+Q192</f>
        <v>18000</v>
      </c>
      <c r="R190" s="230">
        <f t="shared" ca="1" si="140"/>
        <v>18000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IFERROR(__xludf.DUMMYFUNCTION("IMPORTRANGE(""https://docs.google.com/spreadsheets/d/1-uDff_7J0KD5mKrp0Vvzr7lt3OU09vwQwhkpOPPYv2Y/edit?usp=sharing"",""งบพรบ!CU14"")"),235500)</f>
        <v>235500</v>
      </c>
      <c r="M192" s="230">
        <f ca="1">IFERROR(__xludf.DUMMYFUNCTION("IMPORTRANGE(""https://docs.google.com/spreadsheets/d/1-uDff_7J0KD5mKrp0Vvzr7lt3OU09vwQwhkpOPPYv2Y/edit?usp=sharing"",""งบพรบ!CZ14"")"),241200)</f>
        <v>241200</v>
      </c>
      <c r="N192" s="230">
        <f ca="1">IFERROR(__xludf.DUMMYFUNCTION("IMPORTRANGE(""https://docs.google.com/spreadsheets/d/1-uDff_7J0KD5mKrp0Vvzr7lt3OU09vwQwhkpOPPYv2Y/edit?usp=sharing"",""งบพรบ!DB14"")"),105000)</f>
        <v>105000</v>
      </c>
      <c r="O192" s="230">
        <f t="shared" ca="1" si="132"/>
        <v>44.585987261146499</v>
      </c>
      <c r="P192" s="230">
        <f t="shared" ca="1" si="133"/>
        <v>43.53233830845771</v>
      </c>
      <c r="Q192" s="230">
        <f ca="1">IFERROR(__xludf.DUMMYFUNCTION("IMPORTRANGE(""https://docs.google.com/spreadsheets/d/1ItG2mGa2ceCfYo0BwxsXqNm01IGEUdYcSSLTEv9YCik/edit?usp=sharing"",""เบิกจ่ายกองทุน!AV14"")"),18000)</f>
        <v>18000</v>
      </c>
      <c r="R192" s="230">
        <f ca="1">IFERROR(__xludf.DUMMYFUNCTION("IMPORTRANGE(""https://docs.google.com/spreadsheets/d/1ItG2mGa2ceCfYo0BwxsXqNm01IGEUdYcSSLTEv9YCik/edit?usp=sharing"",""เบิกจ่ายกองทุน!AW14"")"),18000)</f>
        <v>18000</v>
      </c>
      <c r="S192" s="230">
        <f ca="1">IFERROR(__xludf.DUMMYFUNCTION("IMPORTRANGE(""https://docs.google.com/spreadsheets/d/1ItG2mGa2ceCfYo0BwxsXqNm01IGEUdYcSSLTEv9YCik/edit?usp=sharing"",""เบิกจ่ายกองทุน!AX14"")"),0)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IFERROR(__xludf.DUMMYFUNCTION("IMPORTRANGE(""https://docs.google.com/spreadsheets/d/1-uDff_7J0KD5mKrp0Vvzr7lt3OU09vwQwhkpOPPYv2Y/edit?usp=sharing"",""งบพรบ!CX14"")"),0)</f>
        <v>0</v>
      </c>
      <c r="M195" s="230">
        <f ca="1">IFERROR(__xludf.DUMMYFUNCTION("IMPORTRANGE(""https://docs.google.com/spreadsheets/d/1-uDff_7J0KD5mKrp0Vvzr7lt3OU09vwQwhkpOPPYv2Y/edit?usp=sharing"",""งบพรบ!DA14"")"),0)</f>
        <v>0</v>
      </c>
      <c r="N195" s="230">
        <f ca="1">IFERROR(__xludf.DUMMYFUNCTION("IMPORTRANGE(""https://docs.google.com/spreadsheets/d/1-uDff_7J0KD5mKrp0Vvzr7lt3OU09vwQwhkpOPPYv2Y/edit?usp=sharing"",""งบพรบ!DC14"")"),0)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IFERROR(__xludf.DUMMYFUNCTION("IMPORTRANGE(""https://docs.google.com/spreadsheets/d/1eHaY18a8A9IcSdp1K8H6x8fbOy06t2VsZHhMHf-1x7Y/edit?usp=sharing"",""แผน!AB14"")"),6000)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IFERROR(__xludf.DUMMYFUNCTION("IMPORTRANGE(""https://docs.google.com/spreadsheets/d/1eHaY18a8A9IcSdp1K8H6x8fbOy06t2VsZHhMHf-1x7Y/edit?usp=sharing"",""แผน!AE14"")"),4)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3</v>
      </c>
      <c r="J203" s="313">
        <f t="shared" si="144"/>
        <v>3</v>
      </c>
      <c r="K203" s="314">
        <f ca="1">IF(I203&gt;0,J203*100/I203,0)</f>
        <v>100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39000</v>
      </c>
      <c r="M204" s="42"/>
      <c r="N204" s="515">
        <f>N205+N206+N207+N208</f>
        <v>27000</v>
      </c>
      <c r="O204" s="515">
        <f ca="1">IF(L204&gt;0,N204*100/L204,0)</f>
        <v>69.230769230769226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254" t="s">
        <v>86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IFERROR(__xludf.DUMMYFUNCTION("IMPORTRANGE(""https://docs.google.com/spreadsheets/d/1eHaY18a8A9IcSdp1K8H6x8fbOy06t2VsZHhMHf-1x7Y/edit?usp=sharing"",""แผน!AG14"")"),3000)</f>
        <v>3000</v>
      </c>
      <c r="M205" s="42"/>
      <c r="N205" s="541">
        <v>3000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IFERROR(__xludf.DUMMYFUNCTION("IMPORTRANGE(""https://docs.google.com/spreadsheets/d/1eHaY18a8A9IcSdp1K8H6x8fbOy06t2VsZHhMHf-1x7Y/edit?usp=sharing"",""แผน!AH14"")"),0)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IFERROR(__xludf.DUMMYFUNCTION("IMPORTRANGE(""https://docs.google.com/spreadsheets/d/1eHaY18a8A9IcSdp1K8H6x8fbOy06t2VsZHhMHf-1x7Y/edit?usp=sharing"",""แผน!AI14"")"),24000)</f>
        <v>24000</v>
      </c>
      <c r="M207" s="42"/>
      <c r="N207" s="541">
        <v>24000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IFERROR(__xludf.DUMMYFUNCTION("IMPORTRANGE(""https://docs.google.com/spreadsheets/d/1eHaY18a8A9IcSdp1K8H6x8fbOy06t2VsZHhMHf-1x7Y/edit?usp=sharing"",""แผน!AJ14"")"),12000)</f>
        <v>12000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IFERROR(__xludf.DUMMYFUNCTION("IMPORTRANGE(""https://docs.google.com/spreadsheets/d/1eHaY18a8A9IcSdp1K8H6x8fbOy06t2VsZHhMHf-1x7Y/edit?usp=sharing"",""แผน!AK14"")"),3)</f>
        <v>3</v>
      </c>
      <c r="J210" s="520">
        <v>3</v>
      </c>
      <c r="K210" s="521">
        <f ca="1">IF(I210&gt;0,J210*100/I210,0)</f>
        <v>100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IFERROR(__xludf.DUMMYFUNCTION("IMPORTRANGE(""https://docs.google.com/spreadsheets/d/1eHaY18a8A9IcSdp1K8H6x8fbOy06t2VsZHhMHf-1x7Y/edit?usp=sharing"",""แผน!JX14"")"),3)</f>
        <v>3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IFERROR(__xludf.DUMMYFUNCTION("IMPORTRANGE(""https://docs.google.com/spreadsheets/d/1eHaY18a8A9IcSdp1K8H6x8fbOy06t2VsZHhMHf-1x7Y/edit?usp=sharing"",""แผน!JY14"")"),0)</f>
        <v>0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IFERROR(__xludf.DUMMYFUNCTION("IMPORTRANGE(""https://docs.google.com/spreadsheets/d/1eHaY18a8A9IcSdp1K8H6x8fbOy06t2VsZHhMHf-1x7Y/edit?usp=sharing"",""แผน!AM14"")"),0)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IFERROR(__xludf.DUMMYFUNCTION("IMPORTRANGE(""https://docs.google.com/spreadsheets/d/1eHaY18a8A9IcSdp1K8H6x8fbOy06t2VsZHhMHf-1x7Y/edit?usp=sharing"",""แผน!AN14"")"),0)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IFERROR(__xludf.DUMMYFUNCTION("IMPORTRANGE(""https://docs.google.com/spreadsheets/d/1eHaY18a8A9IcSdp1K8H6x8fbOy06t2VsZHhMHf-1x7Y/edit?usp=sharing"",""แผน!AO14"")"),0)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IFERROR(__xludf.DUMMYFUNCTION("IMPORTRANGE(""https://docs.google.com/spreadsheets/d/1eHaY18a8A9IcSdp1K8H6x8fbOy06t2VsZHhMHf-1x7Y/edit?usp=sharing"",""แผน!AP14"")"),0)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IFERROR(__xludf.DUMMYFUNCTION("IMPORTRANGE(""https://docs.google.com/spreadsheets/d/1eHaY18a8A9IcSdp1K8H6x8fbOy06t2VsZHhMHf-1x7Y/edit?usp=sharing"",""แผน!AP14"")"),0)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50000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IFERROR(__xludf.DUMMYFUNCTION("IMPORTRANGE(""https://docs.google.com/spreadsheets/d/1eHaY18a8A9IcSdp1K8H6x8fbOy06t2VsZHhMHf-1x7Y/edit?usp=sharing"",""แผน!AR14"")"),7000)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IFERROR(__xludf.DUMMYFUNCTION("IMPORTRANGE(""https://docs.google.com/spreadsheets/d/1eHaY18a8A9IcSdp1K8H6x8fbOy06t2VsZHhMHf-1x7Y/edit?usp=sharing"",""แผน!AS14"")"),1500)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IFERROR(__xludf.DUMMYFUNCTION("IMPORTRANGE(""https://docs.google.com/spreadsheets/d/1eHaY18a8A9IcSdp1K8H6x8fbOy06t2VsZHhMHf-1x7Y/edit?usp=sharing"",""แผน!AT14"")"),0)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IFERROR(__xludf.DUMMYFUNCTION("IMPORTRANGE(""https://docs.google.com/spreadsheets/d/1eHaY18a8A9IcSdp1K8H6x8fbOy06t2VsZHhMHf-1x7Y/edit?usp=sharing"",""แผน!AV14"")"),50000)</f>
        <v>50000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IFERROR(__xludf.DUMMYFUNCTION("IMPORTRANGE(""https://docs.google.com/spreadsheets/d/1eHaY18a8A9IcSdp1K8H6x8fbOy06t2VsZHhMHf-1x7Y/edit?usp=sharing"",""แผน!AV14"")"),50000)</f>
        <v>50000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IFERROR(__xludf.DUMMYFUNCTION("IMPORTRANGE(""https://docs.google.com/spreadsheets/d/1eHaY18a8A9IcSdp1K8H6x8fbOy06t2VsZHhMHf-1x7Y/edit?usp=sharing"",""แผน!AU14"")"),0)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IFERROR(__xludf.DUMMYFUNCTION("IMPORTRANGE(""https://docs.google.com/spreadsheets/d/1eHaY18a8A9IcSdp1K8H6x8fbOy06t2VsZHhMHf-1x7Y/edit?usp=sharing"",""แผน!AX14"")"),0)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IFERROR(__xludf.DUMMYFUNCTION("IMPORTRANGE(""https://docs.google.com/spreadsheets/d/1eHaY18a8A9IcSdp1K8H6x8fbOy06t2VsZHhMHf-1x7Y/edit?usp=sharing"",""แผน!AY14"")"),0)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IFERROR(__xludf.DUMMYFUNCTION("IMPORTRANGE(""https://docs.google.com/spreadsheets/d/1eHaY18a8A9IcSdp1K8H6x8fbOy06t2VsZHhMHf-1x7Y/edit?usp=sharing"",""แผน!AZ14"")"),0)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IFERROR(__xludf.DUMMYFUNCTION("IMPORTRANGE(""https://docs.google.com/spreadsheets/d/1eHaY18a8A9IcSdp1K8H6x8fbOy06t2VsZHhMHf-1x7Y/edit?usp=sharing"",""แผน!BA14"")"),0)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IFERROR(__xludf.DUMMYFUNCTION("IMPORTRANGE(""https://docs.google.com/spreadsheets/d/1eHaY18a8A9IcSdp1K8H6x8fbOy06t2VsZHhMHf-1x7Y/edit?usp=sharing"",""แผน!BG14"")"),0)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IFERROR(__xludf.DUMMYFUNCTION("IMPORTRANGE(""https://docs.google.com/spreadsheets/d/1eHaY18a8A9IcSdp1K8H6x8fbOy06t2VsZHhMHf-1x7Y/edit?usp=sharing"",""แผน!BB14"")"),0)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IFERROR(__xludf.DUMMYFUNCTION("IMPORTRANGE(""https://docs.google.com/spreadsheets/d/1eHaY18a8A9IcSdp1K8H6x8fbOy06t2VsZHhMHf-1x7Y/edit?usp=sharing"",""แผน!BC14"")"),0)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IFERROR(__xludf.DUMMYFUNCTION("IMPORTRANGE(""https://docs.google.com/spreadsheets/d/1eHaY18a8A9IcSdp1K8H6x8fbOy06t2VsZHhMHf-1x7Y/edit?usp=sharing"",""แผน!BD14"")"),0)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IFERROR(__xludf.DUMMYFUNCTION("IMPORTRANGE(""https://docs.google.com/spreadsheets/d/1eHaY18a8A9IcSdp1K8H6x8fbOy06t2VsZHhMHf-1x7Y/edit?usp=sharing"",""แผน!BE14"")"),0)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IFERROR(__xludf.DUMMYFUNCTION("IMPORTRANGE(""https://docs.google.com/spreadsheets/d/1eHaY18a8A9IcSdp1K8H6x8fbOy06t2VsZHhMHf-1x7Y/edit?usp=sharing"",""แผน!BH14"")"),0)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22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50660</v>
      </c>
      <c r="R267" s="583">
        <f t="shared" ca="1" si="164"/>
        <v>50660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50660</v>
      </c>
      <c r="R269" s="592">
        <f t="shared" ca="1" si="168"/>
        <v>50660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50660</v>
      </c>
      <c r="R270" s="592">
        <f t="shared" ca="1" si="170"/>
        <v>50660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IFERROR(__xludf.DUMMYFUNCTION("IMPORTRANGE(""https://docs.google.com/spreadsheets/d/1-uDff_7J0KD5mKrp0Vvzr7lt3OU09vwQwhkpOPPYv2Y/edit?usp=sharing"",""งบพรบ!DE14"")"),0)</f>
        <v>0</v>
      </c>
      <c r="M272" s="592">
        <f ca="1">IFERROR(__xludf.DUMMYFUNCTION("IMPORTRANGE(""https://docs.google.com/spreadsheets/d/1-uDff_7J0KD5mKrp0Vvzr7lt3OU09vwQwhkpOPPYv2Y/edit?usp=sharing"",""งบพรบ!DJ14"")"),5000)</f>
        <v>5000</v>
      </c>
      <c r="N272" s="592">
        <f ca="1">IFERROR(__xludf.DUMMYFUNCTION("IMPORTRANGE(""https://docs.google.com/spreadsheets/d/1-uDff_7J0KD5mKrp0Vvzr7lt3OU09vwQwhkpOPPYv2Y/edit?usp=sharing"",""งบพรบ!DL14"")"),0)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IFERROR(__xludf.DUMMYFUNCTION("IMPORTRANGE(""https://docs.google.com/spreadsheets/d/1ItG2mGa2ceCfYo0BwxsXqNm01IGEUdYcSSLTEv9YCik/edit?usp=sharing"",""เบิกจ่ายกองทุน!AJ14"")"),50660)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IFERROR(__xludf.DUMMYFUNCTION("IMPORTRANGE(""https://docs.google.com/spreadsheets/d/1ItG2mGa2ceCfYo0BwxsXqNm01IGEUdYcSSLTEv9YCik/edit?usp=sharing"",""เบิกจ่ายกองทุน!AK14"")"),50660)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IFERROR(__xludf.DUMMYFUNCTION("IMPORTRANGE(""https://docs.google.com/spreadsheets/d/1ItG2mGa2ceCfYo0BwxsXqNm01IGEUdYcSSLTEv9YCik/edit?usp=sharing"",""เบิกจ่ายกองทุน!AL14"")"),0)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IFERROR(__xludf.DUMMYFUNCTION("IMPORTRANGE(""https://docs.google.com/spreadsheets/d/1-uDff_7J0KD5mKrp0Vvzr7lt3OU09vwQwhkpOPPYv2Y/edit?usp=sharing"",""งบพรบ!DH14"")"),0)</f>
        <v>0</v>
      </c>
      <c r="M275" s="592">
        <f ca="1">IFERROR(__xludf.DUMMYFUNCTION("IMPORTRANGE(""https://docs.google.com/spreadsheets/d/1-uDff_7J0KD5mKrp0Vvzr7lt3OU09vwQwhkpOPPYv2Y/edit?usp=sharing"",""งบพรบ!DK14"")"),0)</f>
        <v>0</v>
      </c>
      <c r="N275" s="592">
        <f ca="1">IFERROR(__xludf.DUMMYFUNCTION("IMPORTRANGE(""https://docs.google.com/spreadsheets/d/1-uDff_7J0KD5mKrp0Vvzr7lt3OU09vwQwhkpOPPYv2Y/edit?usp=sharing"",""งบพรบ!DM14"")"),0)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IFERROR(__xludf.DUMMYFUNCTION("IMPORTRANGE(""https://docs.google.com/spreadsheets/d/1eHaY18a8A9IcSdp1K8H6x8fbOy06t2VsZHhMHf-1x7Y/edit?usp=sharing"",""แผน!EC14"")"),22)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50</v>
      </c>
      <c r="J281" s="619">
        <f t="shared" si="173"/>
        <v>50</v>
      </c>
      <c r="K281" s="620">
        <f t="shared" ref="K281:K282" ca="1" si="174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500</v>
      </c>
      <c r="J282" s="619">
        <f t="shared" si="175"/>
        <v>500</v>
      </c>
      <c r="K282" s="620">
        <f t="shared" ca="1" si="174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197520</v>
      </c>
      <c r="M283" s="515">
        <f t="shared" ca="1" si="176"/>
        <v>197520</v>
      </c>
      <c r="N283" s="515">
        <f t="shared" ca="1" si="176"/>
        <v>60779</v>
      </c>
      <c r="O283" s="515">
        <f t="shared" ref="O283:O291" ca="1" si="177">IF(L283&gt;0,N283*100/L283,0)</f>
        <v>30.771061158363711</v>
      </c>
      <c r="P283" s="515">
        <f t="shared" ref="P283:P291" ca="1" si="178">IF(M283&gt;0,N283*100/M283,0)</f>
        <v>30.771061158363711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197520</v>
      </c>
      <c r="M285" s="230">
        <f t="shared" ca="1" si="182"/>
        <v>197520</v>
      </c>
      <c r="N285" s="230">
        <f t="shared" ca="1" si="182"/>
        <v>60779</v>
      </c>
      <c r="O285" s="230">
        <f t="shared" ca="1" si="177"/>
        <v>30.771061158363711</v>
      </c>
      <c r="P285" s="230">
        <f t="shared" ca="1" si="178"/>
        <v>30.771061158363711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197520</v>
      </c>
      <c r="M286" s="230">
        <f t="shared" ca="1" si="184"/>
        <v>197520</v>
      </c>
      <c r="N286" s="230">
        <f t="shared" ca="1" si="184"/>
        <v>60779</v>
      </c>
      <c r="O286" s="230">
        <f t="shared" ca="1" si="177"/>
        <v>30.771061158363711</v>
      </c>
      <c r="P286" s="230">
        <f t="shared" ca="1" si="178"/>
        <v>30.771061158363711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IFERROR(__xludf.DUMMYFUNCTION("IMPORTRANGE(""https://docs.google.com/spreadsheets/d/1-uDff_7J0KD5mKrp0Vvzr7lt3OU09vwQwhkpOPPYv2Y/edit?usp=sharing"",""งบพรบ!DO14"")"),197520)</f>
        <v>197520</v>
      </c>
      <c r="M288" s="230">
        <f ca="1">IFERROR(__xludf.DUMMYFUNCTION("IMPORTRANGE(""https://docs.google.com/spreadsheets/d/1-uDff_7J0KD5mKrp0Vvzr7lt3OU09vwQwhkpOPPYv2Y/edit?usp=sharing"",""งบพรบ!DT14"")"),197520)</f>
        <v>197520</v>
      </c>
      <c r="N288" s="230">
        <f ca="1">IFERROR(__xludf.DUMMYFUNCTION("IMPORTRANGE(""https://docs.google.com/spreadsheets/d/1-uDff_7J0KD5mKrp0Vvzr7lt3OU09vwQwhkpOPPYv2Y/edit?usp=sharing"",""งบพรบ!DV14"")"),60779)</f>
        <v>60779</v>
      </c>
      <c r="O288" s="230">
        <f t="shared" ca="1" si="177"/>
        <v>30.771061158363711</v>
      </c>
      <c r="P288" s="230">
        <f t="shared" ca="1" si="178"/>
        <v>30.771061158363711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IFERROR(__xludf.DUMMYFUNCTION("IMPORTRANGE(""https://docs.google.com/spreadsheets/d/1-uDff_7J0KD5mKrp0Vvzr7lt3OU09vwQwhkpOPPYv2Y/edit?usp=sharing"",""งบพรบ!DR14"")"),0)</f>
        <v>0</v>
      </c>
      <c r="M291" s="230">
        <f ca="1">IFERROR(__xludf.DUMMYFUNCTION("IMPORTRANGE(""https://docs.google.com/spreadsheets/d/1-uDff_7J0KD5mKrp0Vvzr7lt3OU09vwQwhkpOPPYv2Y/edit?usp=sharing"",""งบพรบ!DU14"")"),0)</f>
        <v>0</v>
      </c>
      <c r="N291" s="230">
        <f ca="1">IFERROR(__xludf.DUMMYFUNCTION("IMPORTRANGE(""https://docs.google.com/spreadsheets/d/1-uDff_7J0KD5mKrp0Vvzr7lt3OU09vwQwhkpOPPYv2Y/edit?usp=sharing"",""งบพรบ!DW14"")"),0)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IFERROR(__xludf.DUMMYFUNCTION("IMPORTRANGE(""https://docs.google.com/spreadsheets/d/1eHaY18a8A9IcSdp1K8H6x8fbOy06t2VsZHhMHf-1x7Y/edit?usp=sharing"",""แผน!EE14"")"),500)</f>
        <v>500</v>
      </c>
      <c r="J293" s="520">
        <v>500</v>
      </c>
      <c r="K293" s="521">
        <f t="shared" ref="K293:K294" ca="1" si="188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IFERROR(__xludf.DUMMYFUNCTION("IMPORTRANGE(""https://docs.google.com/spreadsheets/d/1eHaY18a8A9IcSdp1K8H6x8fbOy06t2VsZHhMHf-1x7Y/edit?usp=sharing"",""แผน!ED14"")"),50)</f>
        <v>50</v>
      </c>
      <c r="J294" s="340">
        <f>J297</f>
        <v>50</v>
      </c>
      <c r="K294" s="518">
        <f t="shared" ca="1" si="188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IFERROR(__xludf.DUMMYFUNCTION("IMPORTRANGE(""https://docs.google.com/spreadsheets/d/1eHaY18a8A9IcSdp1K8H6x8fbOy06t2VsZHhMHf-1x7Y/edit?usp=sharing"",""แผน!ED14"")"),50)</f>
        <v>50</v>
      </c>
      <c r="J296" s="520">
        <v>50</v>
      </c>
      <c r="K296" s="521">
        <f t="shared" ref="K296:K297" ca="1" si="189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IFERROR(__xludf.DUMMYFUNCTION("IMPORTRANGE(""https://docs.google.com/spreadsheets/d/1eHaY18a8A9IcSdp1K8H6x8fbOy06t2VsZHhMHf-1x7Y/edit?usp=sharing"",""แผน!ED14"")"),50)</f>
        <v>50</v>
      </c>
      <c r="J297" s="520">
        <v>50</v>
      </c>
      <c r="K297" s="521">
        <f t="shared" ca="1" si="189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184600</v>
      </c>
      <c r="M304" s="515">
        <f t="shared" ca="1" si="191"/>
        <v>184600</v>
      </c>
      <c r="N304" s="515">
        <f t="shared" ca="1" si="191"/>
        <v>86340</v>
      </c>
      <c r="O304" s="515">
        <f t="shared" ref="O304:O312" ca="1" si="192">IF(L304&gt;0,N304*100/L304,0)</f>
        <v>46.771397616468036</v>
      </c>
      <c r="P304" s="515">
        <f t="shared" ref="P304:P312" ca="1" si="193">IF(M304&gt;0,N304*100/M304,0)</f>
        <v>46.771397616468036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184600</v>
      </c>
      <c r="M306" s="230">
        <f t="shared" ca="1" si="197"/>
        <v>184600</v>
      </c>
      <c r="N306" s="230">
        <f t="shared" ca="1" si="197"/>
        <v>86340</v>
      </c>
      <c r="O306" s="230">
        <f t="shared" ca="1" si="192"/>
        <v>46.771397616468036</v>
      </c>
      <c r="P306" s="230">
        <f t="shared" ca="1" si="193"/>
        <v>46.771397616468036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184600</v>
      </c>
      <c r="M307" s="230">
        <f t="shared" ca="1" si="199"/>
        <v>184600</v>
      </c>
      <c r="N307" s="230">
        <f t="shared" ca="1" si="199"/>
        <v>86340</v>
      </c>
      <c r="O307" s="230">
        <f t="shared" ca="1" si="192"/>
        <v>46.771397616468036</v>
      </c>
      <c r="P307" s="230">
        <f t="shared" ca="1" si="193"/>
        <v>46.771397616468036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IFERROR(__xludf.DUMMYFUNCTION("IMPORTRANGE(""https://docs.google.com/spreadsheets/d/1-uDff_7J0KD5mKrp0Vvzr7lt3OU09vwQwhkpOPPYv2Y/edit?usp=sharing"",""งบพรบ!DY14"")"),184600)</f>
        <v>184600</v>
      </c>
      <c r="M309" s="230">
        <f ca="1">IFERROR(__xludf.DUMMYFUNCTION("IMPORTRANGE(""https://docs.google.com/spreadsheets/d/1-uDff_7J0KD5mKrp0Vvzr7lt3OU09vwQwhkpOPPYv2Y/edit?usp=sharing"",""งบพรบ!ED14"")"),184600)</f>
        <v>184600</v>
      </c>
      <c r="N309" s="230">
        <f ca="1">IFERROR(__xludf.DUMMYFUNCTION("IMPORTRANGE(""https://docs.google.com/spreadsheets/d/1-uDff_7J0KD5mKrp0Vvzr7lt3OU09vwQwhkpOPPYv2Y/edit?usp=sharing"",""งบพรบ!EF14"")"),86340)</f>
        <v>86340</v>
      </c>
      <c r="O309" s="230">
        <f t="shared" ca="1" si="192"/>
        <v>46.771397616468036</v>
      </c>
      <c r="P309" s="230">
        <f t="shared" ca="1" si="193"/>
        <v>46.771397616468036</v>
      </c>
      <c r="Q309" s="230">
        <f ca="1">IFERROR(__xludf.DUMMYFUNCTION("IMPORTRANGE(""https://docs.google.com/spreadsheets/d/1ItG2mGa2ceCfYo0BwxsXqNm01IGEUdYcSSLTEv9YCik/edit?usp=sharing"",""เบิกจ่ายกองทุน!AP14"")"),144609.24)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IFERROR(__xludf.DUMMYFUNCTION("IMPORTRANGE(""https://docs.google.com/spreadsheets/d/1ItG2mGa2ceCfYo0BwxsXqNm01IGEUdYcSSLTEv9YCik/edit?usp=sharing"",""เบิกจ่ายกองทุน!AQ14"")"),144609)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IFERROR(__xludf.DUMMYFUNCTION("IMPORTRANGE(""https://docs.google.com/spreadsheets/d/1ItG2mGa2ceCfYo0BwxsXqNm01IGEUdYcSSLTEv9YCik/edit?usp=sharing"",""เบิกจ่ายกองทุน!AR14"")"),0)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IFERROR(__xludf.DUMMYFUNCTION("IMPORTRANGE(""https://docs.google.com/spreadsheets/d/1-uDff_7J0KD5mKrp0Vvzr7lt3OU09vwQwhkpOPPYv2Y/edit?usp=sharing"",""งบพรบ!EB14"")"),0)</f>
        <v>0</v>
      </c>
      <c r="M312" s="230">
        <f ca="1">IFERROR(__xludf.DUMMYFUNCTION("IMPORTRANGE(""https://docs.google.com/spreadsheets/d/1-uDff_7J0KD5mKrp0Vvzr7lt3OU09vwQwhkpOPPYv2Y/edit?usp=sharing"",""งบพรบ!EE14"")"),0)</f>
        <v>0</v>
      </c>
      <c r="N312" s="230">
        <f ca="1">IFERROR(__xludf.DUMMYFUNCTION("IMPORTRANGE(""https://docs.google.com/spreadsheets/d/1-uDff_7J0KD5mKrp0Vvzr7lt3OU09vwQwhkpOPPYv2Y/edit?usp=sharing"",""งบพรบ!EG14"")"),0)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IFERROR(__xludf.DUMMYFUNCTION("IMPORTRANGE(""https://docs.google.com/spreadsheets/d/1eHaY18a8A9IcSdp1K8H6x8fbOy06t2VsZHhMHf-1x7Y/edit?usp=sharing"",""แผน!EF14"")"),20)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IFERROR(__xludf.DUMMYFUNCTION("IMPORTRANGE(""https://docs.google.com/spreadsheets/d/1-uDff_7J0KD5mKrp0Vvzr7lt3OU09vwQwhkpOPPYv2Y/edit?usp=sharing"",""งบพรบ!EI14"")"),0)</f>
        <v>0</v>
      </c>
      <c r="M326" s="230">
        <f ca="1">IFERROR(__xludf.DUMMYFUNCTION("IMPORTRANGE(""https://docs.google.com/spreadsheets/d/1-uDff_7J0KD5mKrp0Vvzr7lt3OU09vwQwhkpOPPYv2Y/edit?usp=sharing"",""งบพรบ!EN14"")"),0)</f>
        <v>0</v>
      </c>
      <c r="N326" s="230">
        <f ca="1">IFERROR(__xludf.DUMMYFUNCTION("IMPORTRANGE(""https://docs.google.com/spreadsheets/d/1-uDff_7J0KD5mKrp0Vvzr7lt3OU09vwQwhkpOPPYv2Y/edit?usp=sharing"",""งบพรบ!EP14"")"),0)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IFERROR(__xludf.DUMMYFUNCTION("IMPORTRANGE(""https://docs.google.com/spreadsheets/d/1-uDff_7J0KD5mKrp0Vvzr7lt3OU09vwQwhkpOPPYv2Y/edit?usp=sharing"",""งบพรบ!EL14"")"),0)</f>
        <v>0</v>
      </c>
      <c r="M329" s="230">
        <f ca="1">IFERROR(__xludf.DUMMYFUNCTION("IMPORTRANGE(""https://docs.google.com/spreadsheets/d/1-uDff_7J0KD5mKrp0Vvzr7lt3OU09vwQwhkpOPPYv2Y/edit?usp=sharing"",""งบพรบ!EO14"")"),0)</f>
        <v>0</v>
      </c>
      <c r="N329" s="230">
        <f ca="1">IFERROR(__xludf.DUMMYFUNCTION("IMPORTRANGE(""https://docs.google.com/spreadsheets/d/1-uDff_7J0KD5mKrp0Vvzr7lt3OU09vwQwhkpOPPYv2Y/edit?usp=sharing"",""งบพรบ!EQ14"")"),0)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IFERROR(__xludf.DUMMYFUNCTION("IMPORTRANGE(""https://docs.google.com/spreadsheets/d/1eHaY18a8A9IcSdp1K8H6x8fbOy06t2VsZHhMHf-1x7Y/edit?usp=sharing"",""แผน!EJ14"")"),0)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5000</v>
      </c>
      <c r="J333" s="635">
        <f ca="1">J345+J348+J349+J350+J354</f>
        <v>4223</v>
      </c>
      <c r="K333" s="636">
        <f ca="1">IF(I333&gt;0,J333*100/I333,0)</f>
        <v>84.46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116000</v>
      </c>
      <c r="M334" s="515">
        <f t="shared" ca="1" si="216"/>
        <v>121000</v>
      </c>
      <c r="N334" s="515">
        <f t="shared" ca="1" si="216"/>
        <v>59030</v>
      </c>
      <c r="O334" s="515">
        <f t="shared" ref="O334:O342" ca="1" si="217">IF(L334&gt;0,N334*100/L334,0)</f>
        <v>50.887931034482762</v>
      </c>
      <c r="P334" s="515">
        <f t="shared" ref="P334:P342" ca="1" si="218">IF(M334&gt;0,N334*100/M334,0)</f>
        <v>48.785123966942152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116000</v>
      </c>
      <c r="M336" s="230">
        <f t="shared" ca="1" si="222"/>
        <v>121000</v>
      </c>
      <c r="N336" s="230">
        <f t="shared" ca="1" si="222"/>
        <v>59030</v>
      </c>
      <c r="O336" s="230">
        <f t="shared" ca="1" si="217"/>
        <v>50.887931034482762</v>
      </c>
      <c r="P336" s="230">
        <f t="shared" ca="1" si="218"/>
        <v>48.785123966942152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116000</v>
      </c>
      <c r="M337" s="230">
        <f t="shared" ca="1" si="224"/>
        <v>121000</v>
      </c>
      <c r="N337" s="230">
        <f t="shared" ca="1" si="224"/>
        <v>59030</v>
      </c>
      <c r="O337" s="230">
        <f t="shared" ca="1" si="217"/>
        <v>50.887931034482762</v>
      </c>
      <c r="P337" s="230">
        <f t="shared" ca="1" si="218"/>
        <v>48.785123966942152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IFERROR(__xludf.DUMMYFUNCTION("IMPORTRANGE(""https://docs.google.com/spreadsheets/d/1-uDff_7J0KD5mKrp0Vvzr7lt3OU09vwQwhkpOPPYv2Y/edit?usp=sharing"",""งบพรบ!ES14"")"),116000)</f>
        <v>116000</v>
      </c>
      <c r="M339" s="230">
        <f ca="1">IFERROR(__xludf.DUMMYFUNCTION("IMPORTRANGE(""https://docs.google.com/spreadsheets/d/1-uDff_7J0KD5mKrp0Vvzr7lt3OU09vwQwhkpOPPYv2Y/edit?usp=sharing"",""งบพรบ!EX14"")"),121000)</f>
        <v>121000</v>
      </c>
      <c r="N339" s="230">
        <f ca="1">IFERROR(__xludf.DUMMYFUNCTION("IMPORTRANGE(""https://docs.google.com/spreadsheets/d/1-uDff_7J0KD5mKrp0Vvzr7lt3OU09vwQwhkpOPPYv2Y/edit?usp=sharing"",""งบพรบ!EZ14"")"),59030)</f>
        <v>59030</v>
      </c>
      <c r="O339" s="230">
        <f t="shared" ca="1" si="217"/>
        <v>50.887931034482762</v>
      </c>
      <c r="P339" s="230">
        <f t="shared" ca="1" si="218"/>
        <v>48.785123966942152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IFERROR(__xludf.DUMMYFUNCTION("IMPORTRANGE(""https://docs.google.com/spreadsheets/d/1-uDff_7J0KD5mKrp0Vvzr7lt3OU09vwQwhkpOPPYv2Y/edit?usp=sharing"",""งบพรบ!EV14"")"),0)</f>
        <v>0</v>
      </c>
      <c r="M342" s="230">
        <f ca="1">IFERROR(__xludf.DUMMYFUNCTION("IMPORTRANGE(""https://docs.google.com/spreadsheets/d/1-uDff_7J0KD5mKrp0Vvzr7lt3OU09vwQwhkpOPPYv2Y/edit?usp=sharing"",""งบพรบ!EY14"")"),0)</f>
        <v>0</v>
      </c>
      <c r="N342" s="230">
        <f ca="1">IFERROR(__xludf.DUMMYFUNCTION("IMPORTRANGE(""https://docs.google.com/spreadsheets/d/1-uDff_7J0KD5mKrp0Vvzr7lt3OU09vwQwhkpOPPYv2Y/edit?usp=sharing"",""งบพรบ!FA14"")"),0)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3358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IFERROR(__xludf.DUMMYFUNCTION("IMPORTRANGE(""https://docs.google.com/spreadsheets/d/1eHaY18a8A9IcSdp1K8H6x8fbOy06t2VsZHhMHf-1x7Y/edit?usp=sharing"",""แผน!EK14"")"),5000)</f>
        <v>5000</v>
      </c>
      <c r="J345" s="189">
        <f ca="1">IFERROR(__xludf.DUMMYFUNCTION("IMPORTRANGE(""https://docs.google.com/spreadsheets/d/1awYsYK3VOup2i3Pq_Yjnu8DRu_mYwSBnCR2QPthd0rU/edit?usp=sharing"",""ศูนย์ยกเว้นโฉนด!D14"")"),3353)</f>
        <v>3353</v>
      </c>
      <c r="K345" s="230">
        <f ca="1">IF(I345&gt;0,J345*100/I345,0)</f>
        <v>67.06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IFERROR(__xludf.DUMMYFUNCTION("IMPORTRANGE(""https://docs.google.com/spreadsheets/d/1eHaY18a8A9IcSdp1K8H6x8fbOy06t2VsZHhMHf-1x7Y/edit?usp=sharing"",""แผน!EL14"")"),5)</f>
        <v>5</v>
      </c>
      <c r="J347" s="189">
        <f ca="1">IFERROR(__xludf.DUMMYFUNCTION("IMPORTRANGE(""https://docs.google.com/spreadsheets/d/1awYsYK3VOup2i3Pq_Yjnu8DRu_mYwSBnCR2QPthd0rU/edit?usp=sharing"",""ศูนย์รวม!E14"")"),4)</f>
        <v>4</v>
      </c>
      <c r="K347" s="230">
        <f ca="1">IF(I347&gt;0,J347*100/I347,0)</f>
        <v>80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IFERROR(__xludf.DUMMYFUNCTION("IMPORTRANGE(""https://docs.google.com/spreadsheets/d/1awYsYK3VOup2i3Pq_Yjnu8DRu_mYwSBnCR2QPthd0rU/edit?usp=sharing"",""ศูนย์ยกเว้นโฉนด!F14"")"),0)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IFERROR(__xludf.DUMMYFUNCTION("IMPORTRANGE(""https://docs.google.com/spreadsheets/d/1awYsYK3VOup2i3Pq_Yjnu8DRu_mYwSBnCR2QPthd0rU/edit?usp=sharing"",""ศูนย์ยกเว้นโฉนด!G14"")"),5)</f>
        <v>5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IFERROR(__xludf.DUMMYFUNCTION("IMPORTRANGE(""https://docs.google.com/spreadsheets/d/1awYsYK3VOup2i3Pq_Yjnu8DRu_mYwSBnCR2QPthd0rU/edit?usp=sharing"",""ศูนย์ยกเว้นโฉนด!H14"")"),0)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5834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IFERROR(__xludf.DUMMYFUNCTION("IMPORTRANGE(""https://docs.google.com/spreadsheets/d/1awYsYK3VOup2i3Pq_Yjnu8DRu_mYwSBnCR2QPthd0rU/edit?usp=sharing"",""โฉนดM3!G14"")"),4969)</f>
        <v>4969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IFERROR(__xludf.DUMMYFUNCTION("IMPORTRANGE(""https://docs.google.com/spreadsheets/d/1awYsYK3VOup2i3Pq_Yjnu8DRu_mYwSBnCR2QPthd0rU/edit?usp=sharing"",""โฉนดM3!H14"")"),865)</f>
        <v>865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633060</v>
      </c>
      <c r="M357" s="515">
        <f t="shared" ca="1" si="228"/>
        <v>633060</v>
      </c>
      <c r="N357" s="515">
        <f t="shared" ca="1" si="228"/>
        <v>356671.45</v>
      </c>
      <c r="O357" s="515">
        <f t="shared" ref="O357:O365" ca="1" si="229">IF(L357&gt;0,N357*100/L357,0)</f>
        <v>56.340860266009543</v>
      </c>
      <c r="P357" s="515">
        <f t="shared" ref="P357:P365" ca="1" si="230">IF(M357&gt;0,N357*100/M357,0)</f>
        <v>56.340860266009543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633060</v>
      </c>
      <c r="M359" s="230">
        <f t="shared" ca="1" si="234"/>
        <v>633060</v>
      </c>
      <c r="N359" s="230">
        <f t="shared" ca="1" si="234"/>
        <v>356671.45</v>
      </c>
      <c r="O359" s="230">
        <f t="shared" ca="1" si="229"/>
        <v>56.340860266009543</v>
      </c>
      <c r="P359" s="230">
        <f t="shared" ca="1" si="230"/>
        <v>56.340860266009543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633060</v>
      </c>
      <c r="M360" s="230">
        <f t="shared" ca="1" si="236"/>
        <v>633060</v>
      </c>
      <c r="N360" s="230">
        <f t="shared" ca="1" si="236"/>
        <v>356671.45</v>
      </c>
      <c r="O360" s="230">
        <f t="shared" ca="1" si="229"/>
        <v>56.340860266009543</v>
      </c>
      <c r="P360" s="230">
        <f t="shared" ca="1" si="230"/>
        <v>56.340860266009543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IFERROR(__xludf.DUMMYFUNCTION("IMPORTRANGE(""https://docs.google.com/spreadsheets/d/1-uDff_7J0KD5mKrp0Vvzr7lt3OU09vwQwhkpOPPYv2Y/edit?usp=sharing"",""งบพรบ!FC14"")"),633060)</f>
        <v>633060</v>
      </c>
      <c r="M362" s="230">
        <f ca="1">IFERROR(__xludf.DUMMYFUNCTION("IMPORTRANGE(""https://docs.google.com/spreadsheets/d/1-uDff_7J0KD5mKrp0Vvzr7lt3OU09vwQwhkpOPPYv2Y/edit?usp=sharing"",""งบพรบ!FH14"")"),633060)</f>
        <v>633060</v>
      </c>
      <c r="N362" s="230">
        <f ca="1">IFERROR(__xludf.DUMMYFUNCTION("IMPORTRANGE(""https://docs.google.com/spreadsheets/d/1-uDff_7J0KD5mKrp0Vvzr7lt3OU09vwQwhkpOPPYv2Y/edit?usp=sharing"",""งบพรบ!FJ14"")"),356671.45)</f>
        <v>356671.45</v>
      </c>
      <c r="O362" s="230">
        <f t="shared" ca="1" si="229"/>
        <v>56.340860266009543</v>
      </c>
      <c r="P362" s="230">
        <f t="shared" ca="1" si="230"/>
        <v>56.340860266009543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IFERROR(__xludf.DUMMYFUNCTION("IMPORTRANGE(""https://docs.google.com/spreadsheets/d/1-uDff_7J0KD5mKrp0Vvzr7lt3OU09vwQwhkpOPPYv2Y/edit?usp=sharing"",""งบพรบ!FF14"")"),0)</f>
        <v>0</v>
      </c>
      <c r="M365" s="230">
        <f ca="1">IFERROR(__xludf.DUMMYFUNCTION("IMPORTRANGE(""https://docs.google.com/spreadsheets/d/1-uDff_7J0KD5mKrp0Vvzr7lt3OU09vwQwhkpOPPYv2Y/edit?usp=sharing"",""งบพรบ!FI14"")"),0)</f>
        <v>0</v>
      </c>
      <c r="N365" s="230">
        <f ca="1">IFERROR(__xludf.DUMMYFUNCTION("IMPORTRANGE(""https://docs.google.com/spreadsheets/d/1-uDff_7J0KD5mKrp0Vvzr7lt3OU09vwQwhkpOPPYv2Y/edit?usp=sharing"",""งบพรบ!FK14"")"),0)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235</v>
      </c>
      <c r="J366" s="313">
        <f t="shared" ca="1" si="240"/>
        <v>303</v>
      </c>
      <c r="K366" s="314">
        <f ca="1">IF(I366&gt;0,J366*100/I366,0)</f>
        <v>128.93617021276594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IFERROR(__xludf.DUMMYFUNCTION("IMPORTRANGE(""https://docs.google.com/spreadsheets/d/1tdoBKaGub7dwA3U6UFTqxio9LNnvDCQjHKmttSEBsFQ/edit?usp=sharing"",""จัดที่ดิน!AB14"")"),93)</f>
        <v>93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IFERROR(__xludf.DUMMYFUNCTION("IMPORTRANGE(""https://docs.google.com/spreadsheets/d/1eHaY18a8A9IcSdp1K8H6x8fbOy06t2VsZHhMHf-1x7Y/edit?usp=sharing"",""แผน!EW14"")"),2130)</f>
        <v>2130</v>
      </c>
      <c r="J369" s="646">
        <f ca="1">IFERROR(__xludf.DUMMYFUNCTION("IMPORTRANGE(""https://docs.google.com/spreadsheets/d/1tdoBKaGub7dwA3U6UFTqxio9LNnvDCQjHKmttSEBsFQ/edit?usp=sharing"",""จัดที่ดิน!AC14"")"),1212.81)</f>
        <v>1212.81</v>
      </c>
      <c r="K369" s="230">
        <f t="shared" ca="1" si="241"/>
        <v>56.939436619718307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IFERROR(__xludf.DUMMYFUNCTION("IMPORTRANGE(""https://docs.google.com/spreadsheets/d/1eHaY18a8A9IcSdp1K8H6x8fbOy06t2VsZHhMHf-1x7Y/edit?usp=sharing"",""แผน!EX14"")"),381)</f>
        <v>381</v>
      </c>
      <c r="J370" s="189">
        <f ca="1">IFERROR(__xludf.DUMMYFUNCTION("IMPORTRANGE(""https://docs.google.com/spreadsheets/d/1tdoBKaGub7dwA3U6UFTqxio9LNnvDCQjHKmttSEBsFQ/edit?usp=sharing"",""จัดที่ดิน!AD14"")"),360)</f>
        <v>360</v>
      </c>
      <c r="K370" s="230">
        <f t="shared" ca="1" si="241"/>
        <v>94.488188976377955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IFERROR(__xludf.DUMMYFUNCTION("IMPORTRANGE(""https://docs.google.com/spreadsheets/d/1tdoBKaGub7dwA3U6UFTqxio9LNnvDCQjHKmttSEBsFQ/edit?usp=sharing"",""จัดที่ดิน!AE14"")"),5545.78)</f>
        <v>5545.78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IFERROR(__xludf.DUMMYFUNCTION("IMPORTRANGE(""https://docs.google.com/spreadsheets/d/1eHaY18a8A9IcSdp1K8H6x8fbOy06t2VsZHhMHf-1x7Y/edit?usp=sharing"",""แผน!EY14"")"),235)</f>
        <v>235</v>
      </c>
      <c r="J372" s="189">
        <f ca="1">IFERROR(__xludf.DUMMYFUNCTION("IMPORTRANGE(""https://docs.google.com/spreadsheets/d/1tdoBKaGub7dwA3U6UFTqxio9LNnvDCQjHKmttSEBsFQ/edit?usp=sharing"",""จัดที่ดิน!AF14"")"),303)</f>
        <v>303</v>
      </c>
      <c r="K372" s="230">
        <f t="shared" ca="1" si="241"/>
        <v>128.93617021276594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IFERROR(__xludf.DUMMYFUNCTION("IMPORTRANGE(""https://docs.google.com/spreadsheets/d/1tdoBKaGub7dwA3U6UFTqxio9LNnvDCQjHKmttSEBsFQ/edit?usp=sharing"",""จัดที่ดิน!AG14"")"),4971.7)</f>
        <v>4971.7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10000</v>
      </c>
      <c r="J375" s="654">
        <f t="shared" ca="1" si="242"/>
        <v>16</v>
      </c>
      <c r="K375" s="655">
        <f ca="1">IF(I375&gt;0,J375*100/I375,0)</f>
        <v>0.16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625000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625000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625000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IFERROR(__xludf.DUMMYFUNCTION("IMPORTRANGE(""https://docs.google.com/spreadsheets/d/1ItG2mGa2ceCfYo0BwxsXqNm01IGEUdYcSSLTEv9YCik/edit?usp=sharing"",""เบิกจ่ายกองทุน!AY14"")"),625000)</f>
        <v>625000</v>
      </c>
      <c r="R381" s="230">
        <f ca="1">IFERROR(__xludf.DUMMYFUNCTION("IMPORTRANGE(""https://docs.google.com/spreadsheets/d/1ItG2mGa2ceCfYo0BwxsXqNm01IGEUdYcSSLTEv9YCik/edit?usp=sharing"",""เบิกจ่ายกองทุน!AZ14"")"),0)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IFERROR(__xludf.DUMMYFUNCTION("IMPORTRANGE(""https://docs.google.com/spreadsheets/d/1ItG2mGa2ceCfYo0BwxsXqNm01IGEUdYcSSLTEv9YCik/edit?usp=sharing"",""เบิกจ่ายกองทุน!BA14"")"),0)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IFERROR(__xludf.DUMMYFUNCTION("IMPORTRANGE(""https://docs.google.com/spreadsheets/d/1w5rwWK1o49a35cNtocGL0gxDwhFSTZUQu90BiH9_zqM/edit?usp=sharing"",""RTK!H14"")"),2)</f>
        <v>2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IFERROR(__xludf.DUMMYFUNCTION("IMPORTRANGE(""https://docs.google.com/spreadsheets/d/1w5rwWK1o49a35cNtocGL0gxDwhFSTZUQu90BiH9_zqM/edit?usp=sharing"",""RTK!G14"")"),10000)</f>
        <v>10000</v>
      </c>
      <c r="J387" s="189">
        <f ca="1">IFERROR(__xludf.DUMMYFUNCTION("IMPORTRANGE(""https://docs.google.com/spreadsheets/d/1w5rwWK1o49a35cNtocGL0gxDwhFSTZUQu90BiH9_zqM/edit?usp=sharing"",""RTK!I14"")"),16)</f>
        <v>16</v>
      </c>
      <c r="K387" s="230">
        <f t="shared" ca="1" si="255"/>
        <v>0.16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IFERROR(__xludf.DUMMYFUNCTION("IMPORTRANGE(""https://docs.google.com/spreadsheets/d/1w5rwWK1o49a35cNtocGL0gxDwhFSTZUQu90BiH9_zqM/edit?usp=sharing"",""RTK!L14"")"),0)</f>
        <v>0</v>
      </c>
      <c r="K388" s="592">
        <f t="shared" si="255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IFERROR(__xludf.DUMMYFUNCTION("IMPORTRANGE(""https://docs.google.com/spreadsheets/d/1w5rwWK1o49a35cNtocGL0gxDwhFSTZUQu90BiH9_zqM/edit?usp=sharing"",""RTK!K14"")"),0)</f>
        <v>0</v>
      </c>
      <c r="J389" s="661">
        <f ca="1">IFERROR(__xludf.DUMMYFUNCTION("IMPORTRANGE(""https://docs.google.com/spreadsheets/d/1w5rwWK1o49a35cNtocGL0gxDwhFSTZUQu90BiH9_zqM/edit?usp=sharing"",""RTK!M14"")"),0)</f>
        <v>0</v>
      </c>
      <c r="K389" s="592">
        <f t="shared" ca="1" si="255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IFERROR(__xludf.DUMMYFUNCTION("IMPORTRANGE(""https://docs.google.com/spreadsheets/d/1ItG2mGa2ceCfYo0BwxsXqNm01IGEUdYcSSLTEv9YCik/edit?usp=sharing"",""เบิกจ่ายกองทุน!BH14"")"),0)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IFERROR(__xludf.DUMMYFUNCTION("IMPORTRANGE(""https://docs.google.com/spreadsheets/d/1ItG2mGa2ceCfYo0BwxsXqNm01IGEUdYcSSLTEv9YCik/edit?usp=sharing"",""เบิกจ่ายกองทุน!BI14"")"),0)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IFERROR(__xludf.DUMMYFUNCTION("IMPORTRANGE(""https://docs.google.com/spreadsheets/d/1ItG2mGa2ceCfYo0BwxsXqNm01IGEUdYcSSLTEv9YCik/edit?usp=sharing"",""เบิกจ่ายกองทุน!BJ14"")"),0)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IFERROR(__xludf.DUMMYFUNCTION("IMPORTRANGE(""https://docs.google.com/spreadsheets/d/1eHaY18a8A9IcSdp1K8H6x8fbOy06t2VsZHhMHf-1x7Y/edit?usp=sharing"",""แผน!HJ14"")"),0)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IFERROR(__xludf.DUMMYFUNCTION("IMPORTRANGE(""https://docs.google.com/spreadsheets/d/1eHaY18a8A9IcSdp1K8H6x8fbOy06t2VsZHhMHf-1x7Y/edit?usp=sharing"",""แผน!HK14"")"),0)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IFERROR(__xludf.DUMMYFUNCTION("IMPORTRANGE(""https://docs.google.com/spreadsheets/d/1eHaY18a8A9IcSdp1K8H6x8fbOy06t2VsZHhMHf-1x7Y/edit?usp=sharing"",""แผน!HJ14"")"),0)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IFERROR(__xludf.DUMMYFUNCTION("IMPORTRANGE(""https://docs.google.com/spreadsheets/d/1eHaY18a8A9IcSdp1K8H6x8fbOy06t2VsZHhMHf-1x7Y/edit?usp=sharing"",""แผน!HK14"")"),0)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IFERROR(__xludf.DUMMYFUNCTION("IMPORTRANGE(""https://docs.google.com/spreadsheets/d/1eHaY18a8A9IcSdp1K8H6x8fbOy06t2VsZHhMHf-1x7Y/edit?usp=sharing"",""แผน!HJ14"")"),0)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IFERROR(__xludf.DUMMYFUNCTION("IMPORTRANGE(""https://docs.google.com/spreadsheets/d/1eHaY18a8A9IcSdp1K8H6x8fbOy06t2VsZHhMHf-1x7Y/edit?usp=sharing"",""แผน!HK14"")"),0)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IFERROR(__xludf.DUMMYFUNCTION("IMPORTRANGE(""https://docs.google.com/spreadsheets/d/1eHaY18a8A9IcSdp1K8H6x8fbOy06t2VsZHhMHf-1x7Y/edit?usp=sharing"",""แผน!HL14"")"),0)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IFERROR(__xludf.DUMMYFUNCTION("IMPORTRANGE(""https://docs.google.com/spreadsheets/d/1eHaY18a8A9IcSdp1K8H6x8fbOy06t2VsZHhMHf-1x7Y/edit?usp=sharing"",""แผน!HM14"")"),0)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IFERROR(__xludf.DUMMYFUNCTION("IMPORTRANGE(""https://docs.google.com/spreadsheets/d/1eHaY18a8A9IcSdp1K8H6x8fbOy06t2VsZHhMHf-1x7Y/edit?usp=sharing"",""แผน!HN14"")"),0)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IFERROR(__xludf.DUMMYFUNCTION("IMPORTRANGE(""https://docs.google.com/spreadsheets/d/1eHaY18a8A9IcSdp1K8H6x8fbOy06t2VsZHhMHf-1x7Y/edit?usp=sharing"",""แผน!HO14"")"),0)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IFERROR(__xludf.DUMMYFUNCTION("IMPORTRANGE(""https://docs.google.com/spreadsheets/d/1ItG2mGa2ceCfYo0BwxsXqNm01IGEUdYcSSLTEv9YCik/edit?usp=sharing"",""เบิกจ่ายกองทุน!X14"")"),0)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IFERROR(__xludf.DUMMYFUNCTION("IMPORTRANGE(""https://docs.google.com/spreadsheets/d/1ItG2mGa2ceCfYo0BwxsXqNm01IGEUdYcSSLTEv9YCik/edit?usp=sharing"",""เบิกจ่ายกองทุน!Y14"")"),0)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IFERROR(__xludf.DUMMYFUNCTION("IMPORTRANGE(""https://docs.google.com/spreadsheets/d/1ItG2mGa2ceCfYo0BwxsXqNm01IGEUdYcSSLTEv9YCik/edit?usp=sharing"",""เบิกจ่ายกองทุน!Z14"")"),0)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IFERROR(__xludf.DUMMYFUNCTION("IMPORTRANGE(""https://docs.google.com/spreadsheets/d/1eHaY18a8A9IcSdp1K8H6x8fbOy06t2VsZHhMHf-1x7Y/edit?usp=sharing"",""แผน!GX14"")"),0)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IFERROR(__xludf.DUMMYFUNCTION("IMPORTRANGE(""https://docs.google.com/spreadsheets/d/1eHaY18a8A9IcSdp1K8H6x8fbOy06t2VsZHhMHf-1x7Y/edit?usp=sharing"",""แผน!GY14"")"),0)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IFERROR(__xludf.DUMMYFUNCTION("IMPORTRANGE(""https://docs.google.com/spreadsheets/d/1eHaY18a8A9IcSdp1K8H6x8fbOy06t2VsZHhMHf-1x7Y/edit?usp=sharing"",""แผน!GZ14"")"),0)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IFERROR(__xludf.DUMMYFUNCTION("IMPORTRANGE(""https://docs.google.com/spreadsheets/d/1eHaY18a8A9IcSdp1K8H6x8fbOy06t2VsZHhMHf-1x7Y/edit?usp=sharing"",""แผน!HA14"")"),0)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IFERROR(__xludf.DUMMYFUNCTION("IMPORTRANGE(""https://docs.google.com/spreadsheets/d/1eHaY18a8A9IcSdp1K8H6x8fbOy06t2VsZHhMHf-1x7Y/edit?usp=sharing"",""แผน!HB14"")"),0)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IFERROR(__xludf.DUMMYFUNCTION("IMPORTRANGE(""https://docs.google.com/spreadsheets/d/1eHaY18a8A9IcSdp1K8H6x8fbOy06t2VsZHhMHf-1x7Y/edit?usp=sharing"",""แผน!HC14"")"),0)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IFERROR(__xludf.DUMMYFUNCTION("IMPORTRANGE(""https://docs.google.com/spreadsheets/d/1-uDff_7J0KD5mKrp0Vvzr7lt3OU09vwQwhkpOPPYv2Y/edit?usp=sharing"",""งบพรบ!FM14"")"),0)</f>
        <v>0</v>
      </c>
      <c r="M519" s="230">
        <f ca="1">IFERROR(__xludf.DUMMYFUNCTION("IMPORTRANGE(""https://docs.google.com/spreadsheets/d/1-uDff_7J0KD5mKrp0Vvzr7lt3OU09vwQwhkpOPPYv2Y/edit?usp=sharing"",""งบพรบ!FR14"")"),0)</f>
        <v>0</v>
      </c>
      <c r="N519" s="230">
        <f ca="1">IFERROR(__xludf.DUMMYFUNCTION("IMPORTRANGE(""https://docs.google.com/spreadsheets/d/1-uDff_7J0KD5mKrp0Vvzr7lt3OU09vwQwhkpOPPYv2Y/edit?usp=sharing"",""งบพรบ!FT14"")"),0)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IFERROR(__xludf.DUMMYFUNCTION("IMPORTRANGE(""https://docs.google.com/spreadsheets/d/1-uDff_7J0KD5mKrp0Vvzr7lt3OU09vwQwhkpOPPYv2Y/edit?usp=sharing"",""งบพรบ!FP14"")"),0)</f>
        <v>0</v>
      </c>
      <c r="M522" s="230">
        <f ca="1">IFERROR(__xludf.DUMMYFUNCTION("IMPORTRANGE(""https://docs.google.com/spreadsheets/d/1-uDff_7J0KD5mKrp0Vvzr7lt3OU09vwQwhkpOPPYv2Y/edit?usp=sharing"",""งบพรบ!FS14"")"),0)</f>
        <v>0</v>
      </c>
      <c r="N522" s="230">
        <f ca="1">IFERROR(__xludf.DUMMYFUNCTION("IMPORTRANGE(""https://docs.google.com/spreadsheets/d/1-uDff_7J0KD5mKrp0Vvzr7lt3OU09vwQwhkpOPPYv2Y/edit?usp=sharing"",""งบพรบ!FU14"")"),0)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1875</v>
      </c>
      <c r="R617" s="515">
        <f t="shared" ca="1" si="383"/>
        <v>1875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1875</v>
      </c>
      <c r="R619" s="230">
        <f t="shared" ca="1" si="387"/>
        <v>1875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1875</v>
      </c>
      <c r="R620" s="230">
        <f t="shared" ca="1" si="389"/>
        <v>1875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IFERROR(__xludf.DUMMYFUNCTION("IMPORTRANGE(""https://docs.google.com/spreadsheets/d/1ItG2mGa2ceCfYo0BwxsXqNm01IGEUdYcSSLTEv9YCik/edit?usp=sharing"",""เบิกจ่ายกองทุน!F14"")"),1875)</f>
        <v>1875</v>
      </c>
      <c r="R622" s="230">
        <f ca="1">IFERROR(__xludf.DUMMYFUNCTION("IMPORTRANGE(""https://docs.google.com/spreadsheets/d/1ItG2mGa2ceCfYo0BwxsXqNm01IGEUdYcSSLTEv9YCik/edit?usp=sharing"",""เบิกจ่ายกองทุน!G14"")"),1875)</f>
        <v>1875</v>
      </c>
      <c r="S622" s="230">
        <f ca="1">IFERROR(__xludf.DUMMYFUNCTION("IMPORTRANGE(""https://docs.google.com/spreadsheets/d/1ItG2mGa2ceCfYo0BwxsXqNm01IGEUdYcSSLTEv9YCik/edit?usp=sharing"",""เบิกจ่ายกองทุน!H14"")"),0)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IFERROR(__xludf.DUMMYFUNCTION("IMPORTRANGE(""https://docs.google.com/spreadsheets/d/1eHaY18a8A9IcSdp1K8H6x8fbOy06t2VsZHhMHf-1x7Y/edit?usp=sharing"",""แผน!ID14"")"),0)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IFERROR(__xludf.DUMMYFUNCTION("IMPORTRANGE(""https://docs.google.com/spreadsheets/d/1eHaY18a8A9IcSdp1K8H6x8fbOy06t2VsZHhMHf-1x7Y/edit?usp=sharing"",""แผน!IC14"")"),1)</f>
        <v>1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IFERROR(__xludf.DUMMYFUNCTION("IMPORTRANGE(""https://docs.google.com/spreadsheets/d/1eHaY18a8A9IcSdp1K8H6x8fbOy06t2VsZHhMHf-1x7Y/edit?usp=sharing"",""แผน!IC14"")"),1)</f>
        <v>1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IFERROR(__xludf.DUMMYFUNCTION("IMPORTRANGE(""https://docs.google.com/spreadsheets/d/1eHaY18a8A9IcSdp1K8H6x8fbOy06t2VsZHhMHf-1x7Y/edit?usp=sharing"",""แผน!IE14"")"),0)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2900</v>
      </c>
      <c r="R643" s="515">
        <f t="shared" ca="1" si="397"/>
        <v>2900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2900</v>
      </c>
      <c r="R645" s="230">
        <f t="shared" ca="1" si="401"/>
        <v>2900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2900</v>
      </c>
      <c r="R646" s="230">
        <f t="shared" ca="1" si="403"/>
        <v>2900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IFERROR(__xludf.DUMMYFUNCTION("IMPORTRANGE(""https://docs.google.com/spreadsheets/d/1ItG2mGa2ceCfYo0BwxsXqNm01IGEUdYcSSLTEv9YCik/edit?usp=sharing"",""เบิกจ่ายกองทุน!I14"")"),2900)</f>
        <v>2900</v>
      </c>
      <c r="R648" s="230">
        <f ca="1">IFERROR(__xludf.DUMMYFUNCTION("IMPORTRANGE(""https://docs.google.com/spreadsheets/d/1ItG2mGa2ceCfYo0BwxsXqNm01IGEUdYcSSLTEv9YCik/edit?usp=sharing"",""เบิกจ่ายกองทุน!J14"")"),2900)</f>
        <v>2900</v>
      </c>
      <c r="S648" s="230">
        <f ca="1">IFERROR(__xludf.DUMMYFUNCTION("IMPORTRANGE(""https://docs.google.com/spreadsheets/d/1ItG2mGa2ceCfYo0BwxsXqNm01IGEUdYcSSLTEv9YCik/edit?usp=sharing"",""เบิกจ่ายกองทุน!K14"")"),0)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IFERROR(__xludf.DUMMYFUNCTION("IMPORTRANGE(""https://docs.google.com/spreadsheets/d/1eHaY18a8A9IcSdp1K8H6x8fbOy06t2VsZHhMHf-1x7Y/edit?usp=sharing"",""แผน!IF14"")"),0)</f>
        <v>0</v>
      </c>
      <c r="J653" s="189">
        <f ca="1">IFERROR(__xludf.DUMMYFUNCTION("IMPORTRANGE(""https://docs.google.com/spreadsheets/d/1tdoBKaGub7dwA3U6UFTqxio9LNnvDCQjHKmttSEBsFQ/edit?usp=sharing"",""จัดที่ดิน!AU14"")"),0)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IFERROR(__xludf.DUMMYFUNCTION("IMPORTRANGE(""https://docs.google.com/spreadsheets/d/1eHaY18a8A9IcSdp1K8H6x8fbOy06t2VsZHhMHf-1x7Y/edit?usp=sharing"",""แผน!IG14"")"),0)</f>
        <v>0</v>
      </c>
      <c r="J654" s="189">
        <f ca="1">IFERROR(__xludf.DUMMYFUNCTION("IMPORTRANGE(""https://docs.google.com/spreadsheets/d/1tdoBKaGub7dwA3U6UFTqxio9LNnvDCQjHKmttSEBsFQ/edit?usp=sharing"",""จัดที่ดิน!AW14"")"),0)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IFERROR(__xludf.DUMMYFUNCTION("IMPORTRANGE(""https://docs.google.com/spreadsheets/d/1eHaY18a8A9IcSdp1K8H6x8fbOy06t2VsZHhMHf-1x7Y/edit?usp=sharing"",""แผน!IH14"")"),83)</f>
        <v>83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IFERROR(__xludf.DUMMYFUNCTION("IMPORTRANGE(""https://docs.google.com/spreadsheets/d/1eHaY18a8A9IcSdp1K8H6x8fbOy06t2VsZHhMHf-1x7Y/edit?usp=sharing"",""แผน!II14"")"),83)</f>
        <v>83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IFERROR(__xludf.DUMMYFUNCTION("IMPORTRANGE(""https://docs.google.com/spreadsheets/d/1eHaY18a8A9IcSdp1K8H6x8fbOy06t2VsZHhMHf-1x7Y/edit?usp=sharing"",""แผน!IJ14"")"),0)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IFERROR(__xludf.DUMMYFUNCTION("IMPORTRANGE(""https://docs.google.com/spreadsheets/d/1eHaY18a8A9IcSdp1K8H6x8fbOy06t2VsZHhMHf-1x7Y/edit?usp=sharing"",""แผน!IK14"")"),0)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IFERROR(__xludf.DUMMYFUNCTION("IMPORTRANGE(""https://docs.google.com/spreadsheets/d/1tdoBKaGub7dwA3U6UFTqxio9LNnvDCQjHKmttSEBsFQ/edit?usp=sharing"",""จัดที่ดิน!AY14"")"),0)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IFERROR(__xludf.DUMMYFUNCTION("IMPORTRANGE(""https://docs.google.com/spreadsheets/d/1tdoBKaGub7dwA3U6UFTqxio9LNnvDCQjHKmttSEBsFQ/edit?usp=sharing"",""จัดที่ดิน!AZ14"")"),0)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IFERROR(__xludf.DUMMYFUNCTION("IMPORTRANGE(""https://docs.google.com/spreadsheets/d/1eHaY18a8A9IcSdp1K8H6x8fbOy06t2VsZHhMHf-1x7Y/edit?usp=sharing"",""แผน!IL14"")"),0)</f>
        <v>0</v>
      </c>
      <c r="J674" s="189">
        <f ca="1">IFERROR(__xludf.DUMMYFUNCTION("IMPORTRANGE(""https://docs.google.com/spreadsheets/d/1tdoBKaGub7dwA3U6UFTqxio9LNnvDCQjHKmttSEBsFQ/edit?usp=sharing"",""จัดที่ดิน!BA14"")"),0)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IFERROR(__xludf.DUMMYFUNCTION("IMPORTRANGE(""https://docs.google.com/spreadsheets/d/1eHaY18a8A9IcSdp1K8H6x8fbOy06t2VsZHhMHf-1x7Y/edit?usp=sharing"",""แผน!IM14"")"),2)</f>
        <v>2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IFERROR(__xludf.DUMMYFUNCTION("IMPORTRANGE(""https://docs.google.com/spreadsheets/d/1eHaY18a8A9IcSdp1K8H6x8fbOy06t2VsZHhMHf-1x7Y/edit?usp=sharing"",""แผน!IN14"")"),59)</f>
        <v>59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IFERROR(__xludf.DUMMYFUNCTION("IMPORTRANGE(""https://docs.google.com/spreadsheets/d/1eHaY18a8A9IcSdp1K8H6x8fbOy06t2VsZHhMHf-1x7Y/edit?usp=sharing"",""แผน!IO14"")"),2)</f>
        <v>2</v>
      </c>
      <c r="J677" s="189">
        <f ca="1">IFERROR(__xludf.DUMMYFUNCTION("IMPORTRANGE(""https://docs.google.com/spreadsheets/d/1tdoBKaGub7dwA3U6UFTqxio9LNnvDCQjHKmttSEBsFQ/edit?usp=sharing"",""จัดที่ดิน!BF14"")"),0)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IFERROR(__xludf.DUMMYFUNCTION("IMPORTRANGE(""https://docs.google.com/spreadsheets/d/1tdoBKaGub7dwA3U6UFTqxio9LNnvDCQjHKmttSEBsFQ/edit?usp=sharing"",""จัดที่ดิน!BG14"")"),0)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IFERROR(__xludf.DUMMYFUNCTION("IMPORTRANGE(""https://docs.google.com/spreadsheets/d/1eHaY18a8A9IcSdp1K8H6x8fbOy06t2VsZHhMHf-1x7Y/edit?usp=sharing"",""แผน!IP14"")"),59)</f>
        <v>59</v>
      </c>
      <c r="J679" s="189">
        <f ca="1">IFERROR(__xludf.DUMMYFUNCTION("IMPORTRANGE(""https://docs.google.com/spreadsheets/d/1tdoBKaGub7dwA3U6UFTqxio9LNnvDCQjHKmttSEBsFQ/edit?usp=sharing"",""จัดที่ดิน!BH14"")"),0)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IFERROR(__xludf.DUMMYFUNCTION("IMPORTRANGE(""https://docs.google.com/spreadsheets/d/1eHaY18a8A9IcSdp1K8H6x8fbOy06t2VsZHhMHf-1x7Y/edit?usp=sharing"",""แผน!IQ14"")"),0)</f>
        <v>0</v>
      </c>
      <c r="J680" s="189">
        <f ca="1">IFERROR(__xludf.DUMMYFUNCTION("IMPORTRANGE(""https://docs.google.com/spreadsheets/d/1tdoBKaGub7dwA3U6UFTqxio9LNnvDCQjHKmttSEBsFQ/edit?usp=sharing"",""จัดที่ดิน!BK14"")"),0)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IFERROR(__xludf.DUMMYFUNCTION("IMPORTRANGE(""https://docs.google.com/spreadsheets/d/1tdoBKaGub7dwA3U6UFTqxio9LNnvDCQjHKmttSEBsFQ/edit?usp=sharing"",""จัดที่ดิน!BL14"")"),0)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IFERROR(__xludf.DUMMYFUNCTION("IMPORTRANGE(""https://docs.google.com/spreadsheets/d/1eHaY18a8A9IcSdp1K8H6x8fbOy06t2VsZHhMHf-1x7Y/edit?usp=sharing"",""แผน!IR14"")"),0)</f>
        <v>0</v>
      </c>
      <c r="J682" s="189">
        <f ca="1">IFERROR(__xludf.DUMMYFUNCTION("IMPORTRANGE(""https://docs.google.com/spreadsheets/d/1tdoBKaGub7dwA3U6UFTqxio9LNnvDCQjHKmttSEBsFQ/edit?usp=sharing"",""จัดที่ดิน!BM14"")"),0)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IFERROR(__xludf.DUMMYFUNCTION("IMPORTRANGE(""https://docs.google.com/spreadsheets/d/1eHaY18a8A9IcSdp1K8H6x8fbOy06t2VsZHhMHf-1x7Y/edit?usp=sharing"",""แผน!IS14"")"),0)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100</v>
      </c>
      <c r="J690" s="700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224500</v>
      </c>
      <c r="R691" s="515">
        <f t="shared" ca="1" si="414"/>
        <v>224500</v>
      </c>
      <c r="S691" s="515">
        <f t="shared" ca="1" si="414"/>
        <v>43700</v>
      </c>
      <c r="T691" s="515">
        <f t="shared" ref="T691:T699" ca="1" si="415">IF(Q691&gt;0,S691*100/Q691,0)</f>
        <v>19.465478841870823</v>
      </c>
      <c r="U691" s="515">
        <f t="shared" ref="U691:U699" ca="1" si="416">IF(R691&gt;0,S691*100/R691,0)</f>
        <v>19.465478841870823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224500</v>
      </c>
      <c r="R693" s="230">
        <f t="shared" ca="1" si="418"/>
        <v>224500</v>
      </c>
      <c r="S693" s="230">
        <f t="shared" ca="1" si="418"/>
        <v>43700</v>
      </c>
      <c r="T693" s="230">
        <f t="shared" ca="1" si="415"/>
        <v>19.465478841870823</v>
      </c>
      <c r="U693" s="230">
        <f t="shared" ca="1" si="416"/>
        <v>19.465478841870823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224500</v>
      </c>
      <c r="R694" s="230">
        <f t="shared" ca="1" si="420"/>
        <v>224500</v>
      </c>
      <c r="S694" s="230">
        <f t="shared" ca="1" si="420"/>
        <v>43700</v>
      </c>
      <c r="T694" s="230">
        <f t="shared" ca="1" si="415"/>
        <v>19.465478841870823</v>
      </c>
      <c r="U694" s="230">
        <f t="shared" ca="1" si="416"/>
        <v>19.465478841870823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6" s="230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6" s="230">
        <f ca="1">IFERROR(__xludf.DUMMYFUNCTION("IMPORTRANGE(""https://docs.google.com/spreadsheets/d/1ItG2mGa2ceCfYo0BwxsXqNm01IGEUdYcSSLTEv9YCik/edit?usp=sharing"",""เบิกจ่ายกองทุน!N14"")"),43700)</f>
        <v>43700</v>
      </c>
      <c r="T696" s="230">
        <f t="shared" ca="1" si="415"/>
        <v>19.465478841870823</v>
      </c>
      <c r="U696" s="230">
        <f t="shared" ca="1" si="416"/>
        <v>19.465478841870823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IFERROR(__xludf.DUMMYFUNCTION("IMPORTRANGE(""https://docs.google.com/spreadsheets/d/1eHaY18a8A9IcSdp1K8H6x8fbOy06t2VsZHhMHf-1x7Y/edit?usp=sharing"",""แผน!LC14"")"),0)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105</v>
      </c>
      <c r="J702" s="340">
        <f t="shared" ca="1" si="424"/>
        <v>0</v>
      </c>
      <c r="K702" s="515">
        <f t="shared" ca="1" si="423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IFERROR(__xludf.DUMMYFUNCTION("IMPORTRANGE(""https://docs.google.com/spreadsheets/d/1eHaY18a8A9IcSdp1K8H6x8fbOy06t2VsZHhMHf-1x7Y/edit?usp=sharing"",""แผน!LJ14"")"),100)</f>
        <v>100</v>
      </c>
      <c r="J704" s="189">
        <f ca="1">IFERROR(__xludf.DUMMYFUNCTION("IMPORTRANGE(""https://docs.google.com/spreadsheets/d/1tdoBKaGub7dwA3U6UFTqxio9LNnvDCQjHKmttSEBsFQ/edit?usp=sharing"",""จัดที่ดิน!AP14"")"),0)</f>
        <v>0</v>
      </c>
      <c r="K704" s="230">
        <f t="shared" ca="1" si="423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IFERROR(__xludf.DUMMYFUNCTION("IMPORTRANGE(""https://docs.google.com/spreadsheets/d/1tdoBKaGub7dwA3U6UFTqxio9LNnvDCQjHKmttSEBsFQ/edit?usp=sharing"",""จัดที่ดิน!AQ14"")"),0)</f>
        <v>0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IFERROR(__xludf.DUMMYFUNCTION("IMPORTRANGE(""https://docs.google.com/spreadsheets/d/1eHaY18a8A9IcSdp1K8H6x8fbOy06t2VsZHhMHf-1x7Y/edit?usp=sharing"",""แผน!LK14"")"),5)</f>
        <v>5</v>
      </c>
      <c r="J706" s="189">
        <f ca="1">IFERROR(__xludf.DUMMYFUNCTION("IMPORTRANGE(""https://docs.google.com/spreadsheets/d/1tdoBKaGub7dwA3U6UFTqxio9LNnvDCQjHKmttSEBsFQ/edit?usp=sharing"",""จัดที่ดิน!AR14"")"),0)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IFERROR(__xludf.DUMMYFUNCTION("IMPORTRANGE(""https://docs.google.com/spreadsheets/d/1tdoBKaGub7dwA3U6UFTqxio9LNnvDCQjHKmttSEBsFQ/edit?usp=sharing"",""จัดที่ดิน!AS14"")"),0)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IFERROR(__xludf.DUMMYFUNCTION("IMPORTRANGE(""https://docs.google.com/spreadsheets/d/1eHaY18a8A9IcSdp1K8H6x8fbOy06t2VsZHhMHf-1x7Y/edit?usp=sharing"",""แผน!LJ14"")"),100)</f>
        <v>100</v>
      </c>
      <c r="J708" s="189">
        <f ca="1">IFERROR(__xludf.DUMMYFUNCTION("IMPORTRANGE(""https://docs.google.com/spreadsheets/d/1tdoBKaGub7dwA3U6UFTqxio9LNnvDCQjHKmttSEBsFQ/edit?usp=sharing"",""จัดที่ดิน!BN14"")"),0)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IFERROR(__xludf.DUMMYFUNCTION("IMPORTRANGE(""https://docs.google.com/spreadsheets/d/1tdoBKaGub7dwA3U6UFTqxio9LNnvDCQjHKmttSEBsFQ/edit?usp=sharing"",""จัดที่ดิน!BO14"")"),0)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IFERROR(__xludf.DUMMYFUNCTION("IMPORTRANGE(""https://docs.google.com/spreadsheets/d/1eHaY18a8A9IcSdp1K8H6x8fbOy06t2VsZHhMHf-1x7Y/edit?usp=sharing"",""แผน!LK14"")"),5)</f>
        <v>5</v>
      </c>
      <c r="J710" s="189">
        <f ca="1">IFERROR(__xludf.DUMMYFUNCTION("IMPORTRANGE(""https://docs.google.com/spreadsheets/d/1tdoBKaGub7dwA3U6UFTqxio9LNnvDCQjHKmttSEBsFQ/edit?usp=sharing"",""จัดที่ดิน!BP14"")"),0)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IFERROR(__xludf.DUMMYFUNCTION("IMPORTRANGE(""https://docs.google.com/spreadsheets/d/1tdoBKaGub7dwA3U6UFTqxio9LNnvDCQjHKmttSEBsFQ/edit?usp=sharing"",""จัดที่ดิน!BQ14"")"),0)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IFERROR(__xludf.DUMMYFUNCTION("IMPORTRANGE(""https://docs.google.com/spreadsheets/d/1eHaY18a8A9IcSdp1K8H6x8fbOy06t2VsZHhMHf-1x7Y/edit?usp=sharing"",""แผน!GA14"")"),128)</f>
        <v>128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IFERROR(__xludf.DUMMYFUNCTION("IMPORTRANGE(""https://docs.google.com/spreadsheets/d/1eHaY18a8A9IcSdp1K8H6x8fbOy06t2VsZHhMHf-1x7Y/edit?usp=sharing"",""แผน!FZ14"")"),1250)</f>
        <v>1250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1008470</v>
      </c>
      <c r="R729" s="515">
        <f t="shared" ca="1" si="441"/>
        <v>1008470</v>
      </c>
      <c r="S729" s="515">
        <f t="shared" ca="1" si="441"/>
        <v>0</v>
      </c>
      <c r="T729" s="515">
        <f t="shared" ref="T729:T737" ca="1" si="442">IF(Q729&gt;0,S729*100/Q729,0)</f>
        <v>0</v>
      </c>
      <c r="U729" s="515">
        <f t="shared" ref="U729:U737" ca="1" si="443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1008470</v>
      </c>
      <c r="R731" s="230">
        <f t="shared" ca="1" si="445"/>
        <v>1008470</v>
      </c>
      <c r="S731" s="230">
        <f t="shared" ca="1" si="445"/>
        <v>0</v>
      </c>
      <c r="T731" s="230">
        <f t="shared" ca="1" si="442"/>
        <v>0</v>
      </c>
      <c r="U731" s="230">
        <f t="shared" ca="1" si="443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1008470</v>
      </c>
      <c r="R732" s="230">
        <f t="shared" ca="1" si="447"/>
        <v>1008470</v>
      </c>
      <c r="S732" s="230">
        <f t="shared" ca="1" si="447"/>
        <v>0</v>
      </c>
      <c r="T732" s="230">
        <f t="shared" ca="1" si="442"/>
        <v>0</v>
      </c>
      <c r="U732" s="230">
        <f t="shared" ca="1" si="443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IFERROR(__xludf.DUMMYFUNCTION("IMPORTRANGE(""https://docs.google.com/spreadsheets/d/1ItG2mGa2ceCfYo0BwxsXqNm01IGEUdYcSSLTEv9YCik/edit?usp=sharing"",""เบิกจ่ายกองทุน!Q14"")"),0)</f>
        <v>0</v>
      </c>
      <c r="T734" s="230">
        <f t="shared" ca="1" si="442"/>
        <v>0</v>
      </c>
      <c r="U734" s="230">
        <f t="shared" ca="1" si="443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IFERROR(__xludf.DUMMYFUNCTION("IMPORTRANGE(""https://docs.google.com/spreadsheets/d/1eHaY18a8A9IcSdp1K8H6x8fbOy06t2VsZHhMHf-1x7Y/edit?usp=sharing"",""แผน!GB14"")"),1000)</f>
        <v>1000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IFERROR(__xludf.DUMMYFUNCTION("IMPORTRANGE(""https://docs.google.com/spreadsheets/d/1eHaY18a8A9IcSdp1K8H6x8fbOy06t2VsZHhMHf-1x7Y/edit?usp=sharing"",""แผน!GC14"")"),100)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IFERROR(__xludf.DUMMYFUNCTION("IMPORTRANGE(""https://docs.google.com/spreadsheets/d/1eHaY18a8A9IcSdp1K8H6x8fbOy06t2VsZHhMHf-1x7Y/edit?usp=sharing"",""แผน!GD14"")"),250)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IFERROR(__xludf.DUMMYFUNCTION("IMPORTRANGE(""https://docs.google.com/spreadsheets/d/1eHaY18a8A9IcSdp1K8H6x8fbOy06t2VsZHhMHf-1x7Y/edit?usp=sharing"",""แผน!GE14"")"),25)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IFERROR(__xludf.DUMMYFUNCTION("IMPORTRANGE(""https://docs.google.com/spreadsheets/d/1eHaY18a8A9IcSdp1K8H6x8fbOy06t2VsZHhMHf-1x7Y/edit?usp=sharing"",""แผน!GF14"")"),3)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IFERROR(__xludf.DUMMYFUNCTION("IMPORTRANGE(""https://docs.google.com/spreadsheets/d/1eHaY18a8A9IcSdp1K8H6x8fbOy06t2VsZHhMHf-1x7Y/edit?usp=sharing"",""แผน!GC14"")"),100)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IFERROR(__xludf.DUMMYFUNCTION("IMPORTRANGE(""https://docs.google.com/spreadsheets/d/1eHaY18a8A9IcSdp1K8H6x8fbOy06t2VsZHhMHf-1x7Y/edit?usp=sharing"",""แผน!GE14"")"),25)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50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500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871800</v>
      </c>
      <c r="R760" s="515">
        <f t="shared" ca="1" si="456"/>
        <v>871800</v>
      </c>
      <c r="S760" s="515">
        <f t="shared" ca="1" si="456"/>
        <v>0</v>
      </c>
      <c r="T760" s="515">
        <f t="shared" ref="T760:T768" ca="1" si="457">IF(Q760&gt;0,S760*100/Q760,0)</f>
        <v>0</v>
      </c>
      <c r="U760" s="515">
        <f t="shared" ref="U760:U768" ca="1" si="458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871800</v>
      </c>
      <c r="R762" s="230">
        <f t="shared" ca="1" si="460"/>
        <v>871800</v>
      </c>
      <c r="S762" s="230">
        <f t="shared" ca="1" si="460"/>
        <v>0</v>
      </c>
      <c r="T762" s="230">
        <f t="shared" ca="1" si="457"/>
        <v>0</v>
      </c>
      <c r="U762" s="230">
        <f t="shared" ca="1" si="458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871800</v>
      </c>
      <c r="R763" s="230">
        <f t="shared" ca="1" si="462"/>
        <v>871800</v>
      </c>
      <c r="S763" s="230">
        <f t="shared" ca="1" si="462"/>
        <v>0</v>
      </c>
      <c r="T763" s="230">
        <f t="shared" ca="1" si="457"/>
        <v>0</v>
      </c>
      <c r="U763" s="230">
        <f t="shared" ca="1" si="458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IFERROR(__xludf.DUMMYFUNCTION("IMPORTRANGE(""https://docs.google.com/spreadsheets/d/1ItG2mGa2ceCfYo0BwxsXqNm01IGEUdYcSSLTEv9YCik/edit?usp=sharing"",""เบิกจ่ายกองทุน!U14"")"),871800)</f>
        <v>871800</v>
      </c>
      <c r="R765" s="230">
        <f ca="1">IFERROR(__xludf.DUMMYFUNCTION("IMPORTRANGE(""https://docs.google.com/spreadsheets/d/1ItG2mGa2ceCfYo0BwxsXqNm01IGEUdYcSSLTEv9YCik/edit?usp=sharing"",""เบิกจ่ายกองทุน!V14"")"),871800)</f>
        <v>871800</v>
      </c>
      <c r="S765" s="230">
        <f ca="1">IFERROR(__xludf.DUMMYFUNCTION("IMPORTRANGE(""https://docs.google.com/spreadsheets/d/1ItG2mGa2ceCfYo0BwxsXqNm01IGEUdYcSSLTEv9YCik/edit?usp=sharing"",""เบิกจ่ายกองทุน!W14"")"),0)</f>
        <v>0</v>
      </c>
      <c r="T765" s="230">
        <f t="shared" ca="1" si="457"/>
        <v>0</v>
      </c>
      <c r="U765" s="230">
        <f t="shared" ca="1" si="458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IFERROR(__xludf.DUMMYFUNCTION("IMPORTRANGE(""https://docs.google.com/spreadsheets/d/1eHaY18a8A9IcSdp1K8H6x8fbOy06t2VsZHhMHf-1x7Y/edit?usp=sharing"",""แผน!FI14"")"),0)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IFERROR(__xludf.DUMMYFUNCTION("IMPORTRANGE(""https://docs.google.com/spreadsheets/d/1eHaY18a8A9IcSdp1K8H6x8fbOy06t2VsZHhMHf-1x7Y/edit?usp=sharing"",""แผน!FQ14"")"),50)</f>
        <v>50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IFERROR(__xludf.DUMMYFUNCTION("IMPORTRANGE(""https://docs.google.com/spreadsheets/d/1eHaY18a8A9IcSdp1K8H6x8fbOy06t2VsZHhMHf-1x7Y/edit?usp=sharing"",""แผน!FR14"")"),500)</f>
        <v>500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IFERROR(__xludf.DUMMYFUNCTION("IMPORTRANGE(""https://docs.google.com/spreadsheets/d/1eHaY18a8A9IcSdp1K8H6x8fbOy06t2VsZHhMHf-1x7Y/edit?usp=sharing"",""แผน!FS14"")"),500)</f>
        <v>500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IFERROR(__xludf.DUMMYFUNCTION("IMPORTRANGE(""https://docs.google.com/spreadsheets/d/1eHaY18a8A9IcSdp1K8H6x8fbOy06t2VsZHhMHf-1x7Y/edit?usp=sharing"",""แผน!FT14"")"),50)</f>
        <v>50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IFERROR(__xludf.DUMMYFUNCTION("IMPORTRANGE(""https://docs.google.com/spreadsheets/d/10OvvATaaLtwErnr3qtWFcTmtbfpFEt5Bsqel9sXx0uE/edit?usp=sharing"",""งานกองทุน!D14"")"),5000000)</f>
        <v>5000000</v>
      </c>
      <c r="J778" s="189">
        <f ca="1">IFERROR(__xludf.DUMMYFUNCTION("IMPORTRANGE(""https://docs.google.com/spreadsheets/d/10OvvATaaLtwErnr3qtWFcTmtbfpFEt5Bsqel9sXx0uE/edit?usp=sharing"",""งานกองทุน!F14"")"),660000)</f>
        <v>660000</v>
      </c>
      <c r="K778" s="230">
        <f t="shared" ref="K778:K785" ca="1" si="465">IF(I778&gt;0,J778*100/I778,0)</f>
        <v>13.2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IFERROR(__xludf.DUMMYFUNCTION("IMPORTRANGE(""https://docs.google.com/spreadsheets/d/10OvvATaaLtwErnr3qtWFcTmtbfpFEt5Bsqel9sXx0uE/edit?usp=sharing"",""งานกองทุน!C14"")"),165)</f>
        <v>165</v>
      </c>
      <c r="J779" s="189">
        <f ca="1">IFERROR(__xludf.DUMMYFUNCTION("IMPORTRANGE(""https://docs.google.com/spreadsheets/d/10OvvATaaLtwErnr3qtWFcTmtbfpFEt5Bsqel9sXx0uE/edit?usp=sharing"",""งานกองทุน!E14"")"),22)</f>
        <v>22</v>
      </c>
      <c r="K779" s="230">
        <f t="shared" ca="1" si="465"/>
        <v>13.333333333333334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89">
        <f ca="1">IFERROR(__xludf.DUMMYFUNCTION("IMPORTRANGE(""https://docs.google.com/spreadsheets/d/10OvvATaaLtwErnr3qtWFcTmtbfpFEt5Bsqel9sXx0uE/edit?usp=sharing"",""งานกองทุน!K14"")"),122346.1)</f>
        <v>122346.1</v>
      </c>
      <c r="K780" s="230">
        <f t="shared" ca="1" si="465"/>
        <v>2.4736854910118233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IFERROR(__xludf.DUMMYFUNCTION("IMPORTRANGE(""https://docs.google.com/spreadsheets/d/10OvvATaaLtwErnr3qtWFcTmtbfpFEt5Bsqel9sXx0uE/edit?usp=sharing"",""งานกองทุน!H14"")"),144)</f>
        <v>144</v>
      </c>
      <c r="J781" s="189">
        <f ca="1">IFERROR(__xludf.DUMMYFUNCTION("IMPORTRANGE(""https://docs.google.com/spreadsheets/d/10OvvATaaLtwErnr3qtWFcTmtbfpFEt5Bsqel9sXx0uE/edit?usp=sharing"",""งานกองทุน!J14"")"),17)</f>
        <v>17</v>
      </c>
      <c r="K781" s="230">
        <f t="shared" ca="1" si="465"/>
        <v>11.805555555555555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89">
        <f ca="1">IFERROR(__xludf.DUMMYFUNCTION("IMPORTRANGE(""https://docs.google.com/spreadsheets/d/10OvvATaaLtwErnr3qtWFcTmtbfpFEt5Bsqel9sXx0uE/edit?usp=sharing"",""งานกองทุน!P14"")"),455007.08)</f>
        <v>455007.08</v>
      </c>
      <c r="K782" s="230">
        <f t="shared" ca="1" si="465"/>
        <v>19.782513560538995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IFERROR(__xludf.DUMMYFUNCTION("IMPORTRANGE(""https://docs.google.com/spreadsheets/d/10OvvATaaLtwErnr3qtWFcTmtbfpFEt5Bsqel9sXx0uE/edit?usp=sharing"",""งานกองทุน!M14"")"),262)</f>
        <v>262</v>
      </c>
      <c r="J783" s="189">
        <f ca="1">IFERROR(__xludf.DUMMYFUNCTION("IMPORTRANGE(""https://docs.google.com/spreadsheets/d/10OvvATaaLtwErnr3qtWFcTmtbfpFEt5Bsqel9sXx0uE/edit?usp=sharing"",""งานกองทุน!O14"")"),112)</f>
        <v>112</v>
      </c>
      <c r="K783" s="230">
        <f t="shared" ca="1" si="465"/>
        <v>42.748091603053432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IFERROR(__xludf.DUMMYFUNCTION("IMPORTRANGE(""https://docs.google.com/spreadsheets/d/10OvvATaaLtwErnr3qtWFcTmtbfpFEt5Bsqel9sXx0uE/edit?usp=sharing"",""งานกองทุน!S14"")"),7980000)</f>
        <v>7980000</v>
      </c>
      <c r="J784" s="189">
        <f ca="1">IFERROR(__xludf.DUMMYFUNCTION("IMPORTRANGE(""https://docs.google.com/spreadsheets/d/10OvvATaaLtwErnr3qtWFcTmtbfpFEt5Bsqel9sXx0uE/edit?usp=sharing"",""งานกองทุน!U14"")"),800000)</f>
        <v>800000</v>
      </c>
      <c r="K784" s="230">
        <f t="shared" ca="1" si="465"/>
        <v>10.025062656641603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IFERROR(__xludf.DUMMYFUNCTION("IMPORTRANGE(""https://docs.google.com/spreadsheets/d/10OvvATaaLtwErnr3qtWFcTmtbfpFEt5Bsqel9sXx0uE/edit?usp=sharing"",""งานกองทุน!R14"")"),285)</f>
        <v>285</v>
      </c>
      <c r="J785" s="194">
        <f ca="1">IFERROR(__xludf.DUMMYFUNCTION("IMPORTRANGE(""https://docs.google.com/spreadsheets/d/10OvvATaaLtwErnr3qtWFcTmtbfpFEt5Bsqel9sXx0uE/edit?usp=sharing"",""งานกองทุน!T14"")"),20)</f>
        <v>20</v>
      </c>
      <c r="K785" s="461">
        <f t="shared" ca="1" si="465"/>
        <v>7.0175438596491224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29:G729"/>
    <mergeCell ref="D760:G760"/>
    <mergeCell ref="A1:U1"/>
    <mergeCell ref="A2:U2"/>
    <mergeCell ref="A3:U3"/>
    <mergeCell ref="D494:F494"/>
    <mergeCell ref="D600:G600"/>
    <mergeCell ref="D617:G617"/>
    <mergeCell ref="D643:G643"/>
    <mergeCell ref="D691:G691"/>
    <mergeCell ref="D715:G715"/>
    <mergeCell ref="A8:G8"/>
    <mergeCell ref="A18:G18"/>
    <mergeCell ref="A31:G31"/>
    <mergeCell ref="A57:G57"/>
    <mergeCell ref="B58:G58"/>
    <mergeCell ref="D414:G414"/>
    <mergeCell ref="A4:H4"/>
    <mergeCell ref="L5:P5"/>
    <mergeCell ref="Q5:U5"/>
    <mergeCell ref="A6:G7"/>
    <mergeCell ref="I6:K6"/>
    <mergeCell ref="L6:M6"/>
    <mergeCell ref="N6:P6"/>
    <mergeCell ref="Q6:R6"/>
    <mergeCell ref="S6:U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E93C6-BE73-4DF9-921D-63ED9EDC2568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18" topLeftCell="I19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310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3051754</v>
      </c>
      <c r="M19" s="474">
        <f t="shared" ca="1" si="0"/>
        <v>3191704.96</v>
      </c>
      <c r="N19" s="474">
        <f t="shared" ca="1" si="0"/>
        <v>1558343.4300000002</v>
      </c>
      <c r="O19" s="474">
        <f t="shared" ref="O19:O27" ca="1" si="1">IF(L19&gt;0,N19*100/L19,0)</f>
        <v>51.063861307300662</v>
      </c>
      <c r="P19" s="474">
        <f t="shared" ref="P19:P27" ca="1" si="2">IF(M19&gt;0,N19*100/M19,0)</f>
        <v>48.824795823232996</v>
      </c>
      <c r="Q19" s="474">
        <f t="shared" ref="Q19:S19" ca="1" si="3">Q20+Q21</f>
        <v>3509069.24</v>
      </c>
      <c r="R19" s="474">
        <f t="shared" ca="1" si="3"/>
        <v>3384069</v>
      </c>
      <c r="S19" s="474">
        <f t="shared" ca="1" si="3"/>
        <v>5110</v>
      </c>
      <c r="T19" s="474">
        <f t="shared" ref="T19:T27" ca="1" si="4">IF(Q19&gt;0,S19*100/Q19,0)</f>
        <v>0.14562266089682516</v>
      </c>
      <c r="U19" s="474">
        <f t="shared" ref="U19:U27" ca="1" si="5">IF(R19&gt;0,S19*100/R19,0)</f>
        <v>0.15100164919805123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3051754</v>
      </c>
      <c r="M21" s="480">
        <f t="shared" ca="1" si="6"/>
        <v>3191704.96</v>
      </c>
      <c r="N21" s="480">
        <f t="shared" ca="1" si="6"/>
        <v>1558343.4300000002</v>
      </c>
      <c r="O21" s="480">
        <f t="shared" ca="1" si="1"/>
        <v>51.063861307300662</v>
      </c>
      <c r="P21" s="480">
        <f t="shared" ca="1" si="2"/>
        <v>48.824795823232996</v>
      </c>
      <c r="Q21" s="480">
        <f t="shared" ca="1" si="7"/>
        <v>3509069.24</v>
      </c>
      <c r="R21" s="480">
        <f t="shared" ca="1" si="7"/>
        <v>3384069</v>
      </c>
      <c r="S21" s="480">
        <f t="shared" ca="1" si="7"/>
        <v>5110</v>
      </c>
      <c r="T21" s="480">
        <f t="shared" ca="1" si="4"/>
        <v>0.14562266089682516</v>
      </c>
      <c r="U21" s="480">
        <f t="shared" ca="1" si="5"/>
        <v>0.15100164919805123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3051754</v>
      </c>
      <c r="M22" s="230">
        <f t="shared" ca="1" si="8"/>
        <v>3191704.96</v>
      </c>
      <c r="N22" s="230">
        <f t="shared" ca="1" si="8"/>
        <v>1558343.4300000002</v>
      </c>
      <c r="O22" s="230">
        <f t="shared" ca="1" si="1"/>
        <v>51.063861307300662</v>
      </c>
      <c r="P22" s="230">
        <f t="shared" ca="1" si="2"/>
        <v>48.824795823232996</v>
      </c>
      <c r="Q22" s="230">
        <f t="shared" ref="Q22:S22" ca="1" si="9">Q23+Q24</f>
        <v>3509069.24</v>
      </c>
      <c r="R22" s="230">
        <f t="shared" ca="1" si="9"/>
        <v>3384069</v>
      </c>
      <c r="S22" s="230">
        <f t="shared" ca="1" si="9"/>
        <v>5110</v>
      </c>
      <c r="T22" s="230">
        <f t="shared" ca="1" si="4"/>
        <v>0.14562266089682516</v>
      </c>
      <c r="U22" s="230">
        <f t="shared" ca="1" si="5"/>
        <v>0.15100164919805123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3051754</v>
      </c>
      <c r="M24" s="230">
        <f t="shared" ca="1" si="10"/>
        <v>3191704.96</v>
      </c>
      <c r="N24" s="230">
        <f t="shared" ca="1" si="10"/>
        <v>1558343.4300000002</v>
      </c>
      <c r="O24" s="230">
        <f t="shared" ca="1" si="1"/>
        <v>51.063861307300662</v>
      </c>
      <c r="P24" s="230">
        <f t="shared" ca="1" si="2"/>
        <v>48.824795823232996</v>
      </c>
      <c r="Q24" s="230">
        <f t="shared" ca="1" si="11"/>
        <v>3509069.24</v>
      </c>
      <c r="R24" s="230">
        <f t="shared" ca="1" si="11"/>
        <v>3384069</v>
      </c>
      <c r="S24" s="230">
        <f t="shared" ca="1" si="11"/>
        <v>5110</v>
      </c>
      <c r="T24" s="230">
        <f t="shared" ca="1" si="4"/>
        <v>0.14562266089682516</v>
      </c>
      <c r="U24" s="230">
        <f t="shared" ca="1" si="5"/>
        <v>0.15100164919805123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3051754</v>
      </c>
      <c r="M41" s="487">
        <f t="shared" ca="1" si="16"/>
        <v>3191704.96</v>
      </c>
      <c r="N41" s="487">
        <f t="shared" ca="1" si="16"/>
        <v>1558343.4300000002</v>
      </c>
      <c r="O41" s="487">
        <f ca="1">IF(L41&gt;0,N41*100/L41,0)</f>
        <v>51.063861307300662</v>
      </c>
      <c r="P41" s="487">
        <f ca="1">IF(M41&gt;0,N41*100/M41,0)</f>
        <v>48.824795823232996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475534</v>
      </c>
      <c r="M45" s="491">
        <f t="shared" ca="1" si="17"/>
        <v>486364.96</v>
      </c>
      <c r="N45" s="491">
        <f t="shared" ca="1" si="17"/>
        <v>333621.31</v>
      </c>
      <c r="O45" s="491">
        <f t="shared" ref="O45:O53" ca="1" si="18">IF(L45&gt;0,N45*100/L45,0)</f>
        <v>70.157193807382853</v>
      </c>
      <c r="P45" s="491">
        <f t="shared" ref="P45:P53" ca="1" si="19">IF(M45&gt;0,N45*100/M45,0)</f>
        <v>68.594849020373502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475534</v>
      </c>
      <c r="M47" s="497">
        <f t="shared" ca="1" si="23"/>
        <v>486364.96</v>
      </c>
      <c r="N47" s="497">
        <f t="shared" ca="1" si="23"/>
        <v>333621.31</v>
      </c>
      <c r="O47" s="497">
        <f t="shared" ca="1" si="18"/>
        <v>70.157193807382853</v>
      </c>
      <c r="P47" s="497">
        <f t="shared" ca="1" si="19"/>
        <v>68.594849020373502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475534</v>
      </c>
      <c r="M48" s="230">
        <f t="shared" ca="1" si="25"/>
        <v>486364.96</v>
      </c>
      <c r="N48" s="230">
        <f t="shared" ca="1" si="25"/>
        <v>333621.31</v>
      </c>
      <c r="O48" s="230">
        <f t="shared" ca="1" si="18"/>
        <v>70.157193807382853</v>
      </c>
      <c r="P48" s="230">
        <f t="shared" ca="1" si="19"/>
        <v>68.594849020373502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IFERROR(__xludf.DUMMYFUNCTION("IMPORTRANGE(""https://docs.google.com/spreadsheets/d/1-uDff_7J0KD5mKrp0Vvzr7lt3OU09vwQwhkpOPPYv2Y/edit?usp=sharing"",""งบพรบ!P15"")"),475534)</f>
        <v>475534</v>
      </c>
      <c r="M50" s="230">
        <f ca="1">IFERROR(__xludf.DUMMYFUNCTION("IMPORTRANGE(""https://docs.google.com/spreadsheets/d/1-uDff_7J0KD5mKrp0Vvzr7lt3OU09vwQwhkpOPPYv2Y/edit?usp=sharing"",""งบพรบ!V15"")"),486364.96)</f>
        <v>486364.96</v>
      </c>
      <c r="N50" s="230">
        <f ca="1">IFERROR(__xludf.DUMMYFUNCTION("IMPORTRANGE(""https://docs.google.com/spreadsheets/d/1-uDff_7J0KD5mKrp0Vvzr7lt3OU09vwQwhkpOPPYv2Y/edit?usp=sharing"",""งบพรบ!Y15"")"),333621.31)</f>
        <v>333621.31</v>
      </c>
      <c r="O50" s="230">
        <f t="shared" ca="1" si="18"/>
        <v>70.157193807382853</v>
      </c>
      <c r="P50" s="230">
        <f t="shared" ca="1" si="19"/>
        <v>68.594849020373502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IFERROR(__xludf.DUMMYFUNCTION("IMPORTRANGE(""https://docs.google.com/spreadsheets/d/1-uDff_7J0KD5mKrp0Vvzr7lt3OU09vwQwhkpOPPYv2Y/edit?usp=sharing"",""งบพรบ!S15"")"),0)</f>
        <v>0</v>
      </c>
      <c r="M53" s="230">
        <f ca="1">IFERROR(__xludf.DUMMYFUNCTION("IMPORTRANGE(""https://docs.google.com/spreadsheets/d/1-uDff_7J0KD5mKrp0Vvzr7lt3OU09vwQwhkpOPPYv2Y/edit?usp=sharing"",""งบพรบ!W15"")"),0)</f>
        <v>0</v>
      </c>
      <c r="N53" s="230">
        <f ca="1">IFERROR(__xludf.DUMMYFUNCTION("IMPORTRANGE(""https://docs.google.com/spreadsheets/d/1-uDff_7J0KD5mKrp0Vvzr7lt3OU09vwQwhkpOPPYv2Y/edit?usp=sharing"",""งบพรบ!Z15"")"),0)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508300</v>
      </c>
      <c r="M60" s="502">
        <f t="shared" ca="1" si="29"/>
        <v>564300</v>
      </c>
      <c r="N60" s="502">
        <f t="shared" ca="1" si="29"/>
        <v>369362.98</v>
      </c>
      <c r="O60" s="502">
        <f t="shared" ref="O60:O68" ca="1" si="30">IF(L60&gt;0,N60*100/L60,0)</f>
        <v>72.666334841628952</v>
      </c>
      <c r="P60" s="502">
        <f t="shared" ref="P60:P68" ca="1" si="31">IF(M60&gt;0,N60*100/M60,0)</f>
        <v>65.455073542441966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508300</v>
      </c>
      <c r="M62" s="508">
        <f t="shared" ca="1" si="35"/>
        <v>564300</v>
      </c>
      <c r="N62" s="508">
        <f t="shared" ca="1" si="35"/>
        <v>369362.98</v>
      </c>
      <c r="O62" s="508">
        <f t="shared" ca="1" si="30"/>
        <v>72.666334841628952</v>
      </c>
      <c r="P62" s="508">
        <f t="shared" ca="1" si="31"/>
        <v>65.455073542441966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508300</v>
      </c>
      <c r="M63" s="230">
        <f t="shared" ca="1" si="37"/>
        <v>564300</v>
      </c>
      <c r="N63" s="230">
        <f t="shared" ca="1" si="37"/>
        <v>369362.98</v>
      </c>
      <c r="O63" s="230">
        <f t="shared" ca="1" si="30"/>
        <v>72.666334841628952</v>
      </c>
      <c r="P63" s="230">
        <f t="shared" ca="1" si="31"/>
        <v>65.455073542441966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IFERROR(__xludf.DUMMYFUNCTION("IMPORTRANGE(""https://docs.google.com/spreadsheets/d/1-uDff_7J0KD5mKrp0Vvzr7lt3OU09vwQwhkpOPPYv2Y/edit?usp=sharing"",""งบพรบ!AC15"")"),508300)</f>
        <v>508300</v>
      </c>
      <c r="M65" s="230">
        <f ca="1">IFERROR(__xludf.DUMMYFUNCTION("IMPORTRANGE(""https://docs.google.com/spreadsheets/d/1-uDff_7J0KD5mKrp0Vvzr7lt3OU09vwQwhkpOPPYv2Y/edit?usp=sharing"",""งบพรบ!AH15"")"),564300)</f>
        <v>564300</v>
      </c>
      <c r="N65" s="230">
        <f ca="1">IFERROR(__xludf.DUMMYFUNCTION("IMPORTRANGE(""https://docs.google.com/spreadsheets/d/1-uDff_7J0KD5mKrp0Vvzr7lt3OU09vwQwhkpOPPYv2Y/edit?usp=sharing"",""งบพรบ!AJ15"")"),369362.98)</f>
        <v>369362.98</v>
      </c>
      <c r="O65" s="230">
        <f t="shared" ca="1" si="30"/>
        <v>72.666334841628952</v>
      </c>
      <c r="P65" s="230">
        <f t="shared" ca="1" si="31"/>
        <v>65.455073542441966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IFERROR(__xludf.DUMMYFUNCTION("IMPORTRANGE(""https://docs.google.com/spreadsheets/d/1-uDff_7J0KD5mKrp0Vvzr7lt3OU09vwQwhkpOPPYv2Y/edit?usp=sharing"",""งบพรบ!AF15"")"),0)</f>
        <v>0</v>
      </c>
      <c r="M68" s="461">
        <f ca="1">IFERROR(__xludf.DUMMYFUNCTION("IMPORTRANGE(""https://docs.google.com/spreadsheets/d/1-uDff_7J0KD5mKrp0Vvzr7lt3OU09vwQwhkpOPPYv2Y/edit?usp=sharing"",""งบพรบ!AI15"")"),0)</f>
        <v>0</v>
      </c>
      <c r="N68" s="461">
        <f ca="1">IFERROR(__xludf.DUMMYFUNCTION("IMPORTRANGE(""https://docs.google.com/spreadsheets/d/1-uDff_7J0KD5mKrp0Vvzr7lt3OU09vwQwhkpOPPYv2Y/edit?usp=sharing"",""งบพรบ!AK15"")"),0)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60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616300</v>
      </c>
      <c r="M73" s="515">
        <f t="shared" ca="1" si="43"/>
        <v>616300</v>
      </c>
      <c r="N73" s="515">
        <f t="shared" ca="1" si="43"/>
        <v>315919.28999999998</v>
      </c>
      <c r="O73" s="515">
        <f t="shared" ref="O73:O81" ca="1" si="44">IF(L73&gt;0,N73*100/L73,0)</f>
        <v>51.260634431283457</v>
      </c>
      <c r="P73" s="515">
        <f t="shared" ref="P73:P81" ca="1" si="45">IF(M73&gt;0,N73*100/M73,0)</f>
        <v>51.260634431283457</v>
      </c>
      <c r="Q73" s="515">
        <f t="shared" ref="Q73:S73" ca="1" si="46">Q74+Q75</f>
        <v>800860</v>
      </c>
      <c r="R73" s="515">
        <f t="shared" ca="1" si="46"/>
        <v>800860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616300</v>
      </c>
      <c r="M75" s="230">
        <f t="shared" ca="1" si="49"/>
        <v>616300</v>
      </c>
      <c r="N75" s="230">
        <f t="shared" ca="1" si="49"/>
        <v>315919.28999999998</v>
      </c>
      <c r="O75" s="230">
        <f t="shared" ca="1" si="44"/>
        <v>51.260634431283457</v>
      </c>
      <c r="P75" s="230">
        <f t="shared" ca="1" si="45"/>
        <v>51.260634431283457</v>
      </c>
      <c r="Q75" s="230">
        <f t="shared" ca="1" si="50"/>
        <v>800860</v>
      </c>
      <c r="R75" s="230">
        <f t="shared" ca="1" si="50"/>
        <v>800860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616300</v>
      </c>
      <c r="M76" s="230">
        <f t="shared" ca="1" si="51"/>
        <v>616300</v>
      </c>
      <c r="N76" s="230">
        <f t="shared" ca="1" si="51"/>
        <v>315919.28999999998</v>
      </c>
      <c r="O76" s="230">
        <f t="shared" ca="1" si="44"/>
        <v>51.260634431283457</v>
      </c>
      <c r="P76" s="230">
        <f t="shared" ca="1" si="45"/>
        <v>51.260634431283457</v>
      </c>
      <c r="Q76" s="230">
        <f t="shared" ref="Q76:S76" ca="1" si="52">Q77+Q78</f>
        <v>800860</v>
      </c>
      <c r="R76" s="230">
        <f t="shared" ca="1" si="52"/>
        <v>800860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IFERROR(__xludf.DUMMYFUNCTION("IMPORTRANGE(""https://docs.google.com/spreadsheets/d/1-uDff_7J0KD5mKrp0Vvzr7lt3OU09vwQwhkpOPPYv2Y/edit?usp=sharing"",""งบพรบ!AM15"")"),616300)</f>
        <v>616300</v>
      </c>
      <c r="M78" s="230">
        <f ca="1">IFERROR(__xludf.DUMMYFUNCTION("IMPORTRANGE(""https://docs.google.com/spreadsheets/d/1-uDff_7J0KD5mKrp0Vvzr7lt3OU09vwQwhkpOPPYv2Y/edit?usp=sharing"",""งบพรบ!AR15"")"),616300)</f>
        <v>616300</v>
      </c>
      <c r="N78" s="230">
        <f ca="1">IFERROR(__xludf.DUMMYFUNCTION("IMPORTRANGE(""https://docs.google.com/spreadsheets/d/1-uDff_7J0KD5mKrp0Vvzr7lt3OU09vwQwhkpOPPYv2Y/edit?usp=sharing"",""งบพรบ!AT15"")"),315919.29)</f>
        <v>315919.28999999998</v>
      </c>
      <c r="O78" s="230">
        <f t="shared" ca="1" si="44"/>
        <v>51.260634431283457</v>
      </c>
      <c r="P78" s="230">
        <f t="shared" ca="1" si="45"/>
        <v>51.260634431283457</v>
      </c>
      <c r="Q78" s="230">
        <f ca="1">IFERROR(__xludf.DUMMYFUNCTION("IMPORTRANGE(""https://docs.google.com/spreadsheets/d/1ItG2mGa2ceCfYo0BwxsXqNm01IGEUdYcSSLTEv9YCik/edit?usp=sharing"",""เบิกจ่ายกองทุน!AS15"")"),800860)</f>
        <v>800860</v>
      </c>
      <c r="R78" s="230">
        <f ca="1">IFERROR(__xludf.DUMMYFUNCTION("IMPORTRANGE(""https://docs.google.com/spreadsheets/d/1ItG2mGa2ceCfYo0BwxsXqNm01IGEUdYcSSLTEv9YCik/edit?usp=sharing"",""เบิกจ่ายกองทุน!AT15"")"),800860)</f>
        <v>800860</v>
      </c>
      <c r="S78" s="230">
        <f ca="1">IFERROR(__xludf.DUMMYFUNCTION("IMPORTRANGE(""https://docs.google.com/spreadsheets/d/1ItG2mGa2ceCfYo0BwxsXqNm01IGEUdYcSSLTEv9YCik/edit?usp=sharing"",""เบิกจ่ายกองทุน!AU15"")"),0)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IFERROR(__xludf.DUMMYFUNCTION("IMPORTRANGE(""https://docs.google.com/spreadsheets/d/1-uDff_7J0KD5mKrp0Vvzr7lt3OU09vwQwhkpOPPYv2Y/edit?usp=sharing"",""งบพรบ!AP15"")"),0)</f>
        <v>0</v>
      </c>
      <c r="M81" s="230">
        <f ca="1">IFERROR(__xludf.DUMMYFUNCTION("IMPORTRANGE(""https://docs.google.com/spreadsheets/d/1-uDff_7J0KD5mKrp0Vvzr7lt3OU09vwQwhkpOPPYv2Y/edit?usp=sharing"",""งบพรบ!AS15"")"),0)</f>
        <v>0</v>
      </c>
      <c r="N81" s="230">
        <f ca="1">IFERROR(__xludf.DUMMYFUNCTION("IMPORTRANGE(""https://docs.google.com/spreadsheets/d/1-uDff_7J0KD5mKrp0Vvzr7lt3OU09vwQwhkpOPPYv2Y/edit?usp=sharing"",""งบพรบ!AU15"")"),0)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60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IFERROR(__xludf.DUMMYFUNCTION("IMPORTRANGE(""https://docs.google.com/spreadsheets/d/1eHaY18a8A9IcSdp1K8H6x8fbOy06t2VsZHhMHf-1x7Y/edit?usp=sharing"",""แผน!H15"")"),0)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IFERROR(__xludf.DUMMYFUNCTION("IMPORTRANGE(""https://docs.google.com/spreadsheets/d/1eHaY18a8A9IcSdp1K8H6x8fbOy06t2VsZHhMHf-1x7Y/edit?usp=sharing"",""แผน!I15"")"),0)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IFERROR(__xludf.DUMMYFUNCTION("IMPORTRANGE(""https://docs.google.com/spreadsheets/d/1eHaY18a8A9IcSdp1K8H6x8fbOy06t2VsZHhMHf-1x7Y/edit?usp=sharing"",""แผน!F15"")"),0)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IFERROR(__xludf.DUMMYFUNCTION("IMPORTRANGE(""https://docs.google.com/spreadsheets/d/1eHaY18a8A9IcSdp1K8H6x8fbOy06t2VsZHhMHf-1x7Y/edit?usp=sharing"",""แผน!G15"")"),0)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IFERROR(__xludf.DUMMYFUNCTION("IMPORTRANGE(""https://docs.google.com/spreadsheets/d/1eHaY18a8A9IcSdp1K8H6x8fbOy06t2VsZHhMHf-1x7Y/edit?usp=sharing"",""แผน!D15"")"),1)</f>
        <v>1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IFERROR(__xludf.DUMMYFUNCTION("IMPORTRANGE(""https://docs.google.com/spreadsheets/d/1eHaY18a8A9IcSdp1K8H6x8fbOy06t2VsZHhMHf-1x7Y/edit?usp=sharing"",""แผน!E15"")"),60)</f>
        <v>60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IFERROR(__xludf.DUMMYFUNCTION("IMPORTRANGE(""https://docs.google.com/spreadsheets/d/1eHaY18a8A9IcSdp1K8H6x8fbOy06t2VsZHhMHf-1x7Y/edit?usp=sharing"",""แผน!J15"")"),1)</f>
        <v>1</v>
      </c>
      <c r="J91" s="520">
        <v>1</v>
      </c>
      <c r="K91" s="521">
        <f t="shared" ca="1" si="56"/>
        <v>100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IFERROR(__xludf.DUMMYFUNCTION("IMPORTRANGE(""https://docs.google.com/spreadsheets/d/1-uDff_7J0KD5mKrp0Vvzr7lt3OU09vwQwhkpOPPYv2Y/edit?usp=sharing"",""งบพรบ!AW15"")"),0)</f>
        <v>0</v>
      </c>
      <c r="M100" s="230">
        <f ca="1">IFERROR(__xludf.DUMMYFUNCTION("IMPORTRANGE(""https://docs.google.com/spreadsheets/d/1-uDff_7J0KD5mKrp0Vvzr7lt3OU09vwQwhkpOPPYv2Y/edit?usp=sharing"",""งบพรบ!BB15"")"),0)</f>
        <v>0</v>
      </c>
      <c r="N100" s="230">
        <f ca="1">IFERROR(__xludf.DUMMYFUNCTION("IMPORTRANGE(""https://docs.google.com/spreadsheets/d/1-uDff_7J0KD5mKrp0Vvzr7lt3OU09vwQwhkpOPPYv2Y/edit?usp=sharing"",""งบพรบ!BD15"")"),0)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IFERROR(__xludf.DUMMYFUNCTION("IMPORTRANGE(""https://docs.google.com/spreadsheets/d/1ItG2mGa2ceCfYo0BwxsXqNm01IGEUdYcSSLTEv9YCik/edit?usp=sharing"",""เบิกจ่ายกองทุน!AD15"")"),0)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IFERROR(__xludf.DUMMYFUNCTION("IMPORTRANGE(""https://docs.google.com/spreadsheets/d/1ItG2mGa2ceCfYo0BwxsXqNm01IGEUdYcSSLTEv9YCik/edit?usp=sharing"",""เบิกจ่ายกองทุน!AE15"")"),0)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IFERROR(__xludf.DUMMYFUNCTION("IMPORTRANGE(""https://docs.google.com/spreadsheets/d/1ItG2mGa2ceCfYo0BwxsXqNm01IGEUdYcSSLTEv9YCik/edit?usp=sharing"",""เบิกจ่ายกองทุน!AF15"")"),0)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IFERROR(__xludf.DUMMYFUNCTION("IMPORTRANGE(""https://docs.google.com/spreadsheets/d/1-uDff_7J0KD5mKrp0Vvzr7lt3OU09vwQwhkpOPPYv2Y/edit?usp=sharing"",""งบพรบ!AZ15"")"),0)</f>
        <v>0</v>
      </c>
      <c r="M103" s="230">
        <f ca="1">IFERROR(__xludf.DUMMYFUNCTION("IMPORTRANGE(""https://docs.google.com/spreadsheets/d/1-uDff_7J0KD5mKrp0Vvzr7lt3OU09vwQwhkpOPPYv2Y/edit?usp=sharing"",""งบพรบ!BC15"")"),0)</f>
        <v>0</v>
      </c>
      <c r="N103" s="230">
        <f ca="1">IFERROR(__xludf.DUMMYFUNCTION("IMPORTRANGE(""https://docs.google.com/spreadsheets/d/1-uDff_7J0KD5mKrp0Vvzr7lt3OU09vwQwhkpOPPYv2Y/edit?usp=sharing"",""งบพรบ!BE15"")"),0)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IFERROR(__xludf.DUMMYFUNCTION("IMPORTRANGE(""https://docs.google.com/spreadsheets/d/1eHaY18a8A9IcSdp1K8H6x8fbOy06t2VsZHhMHf-1x7Y/edit?usp=sharing"",""แผน!N15"")"),0)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IFERROR(__xludf.DUMMYFUNCTION("IMPORTRANGE(""https://docs.google.com/spreadsheets/d/1eHaY18a8A9IcSdp1K8H6x8fbOy06t2VsZHhMHf-1x7Y/edit?usp=sharing"",""แผน!O15"")"),0)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IFERROR(__xludf.DUMMYFUNCTION("IMPORTRANGE(""https://docs.google.com/spreadsheets/d/1eHaY18a8A9IcSdp1K8H6x8fbOy06t2VsZHhMHf-1x7Y/edit?usp=sharing"",""แผน!R15"")"),0)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60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308920</v>
      </c>
      <c r="R118" s="515">
        <f t="shared" ca="1" si="76"/>
        <v>308920</v>
      </c>
      <c r="S118" s="515">
        <f t="shared" ca="1" si="76"/>
        <v>0</v>
      </c>
      <c r="T118" s="515">
        <f t="shared" ref="T118:T126" ca="1" si="77">IF(Q118&gt;0,S118*100/Q118,0)</f>
        <v>0</v>
      </c>
      <c r="U118" s="515">
        <f t="shared" ref="U118:U126" ca="1" si="78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308920</v>
      </c>
      <c r="R120" s="230">
        <f t="shared" ca="1" si="80"/>
        <v>308920</v>
      </c>
      <c r="S120" s="230">
        <f t="shared" ca="1" si="80"/>
        <v>0</v>
      </c>
      <c r="T120" s="230">
        <f t="shared" ca="1" si="77"/>
        <v>0</v>
      </c>
      <c r="U120" s="230">
        <f t="shared" ca="1" si="78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308920</v>
      </c>
      <c r="R121" s="230">
        <f t="shared" ca="1" si="82"/>
        <v>308920</v>
      </c>
      <c r="S121" s="230">
        <f t="shared" ca="1" si="82"/>
        <v>0</v>
      </c>
      <c r="T121" s="230">
        <f t="shared" ca="1" si="77"/>
        <v>0</v>
      </c>
      <c r="U121" s="230">
        <f t="shared" ca="1" si="78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IFERROR(__xludf.DUMMYFUNCTION("IMPORTRANGE(""https://docs.google.com/spreadsheets/d/1-uDff_7J0KD5mKrp0Vvzr7lt3OU09vwQwhkpOPPYv2Y/edit?usp=sharing"",""งบพรบ!BG15"")"),0)</f>
        <v>0</v>
      </c>
      <c r="M123" s="230">
        <f ca="1">IFERROR(__xludf.DUMMYFUNCTION("IMPORTRANGE(""https://docs.google.com/spreadsheets/d/1-uDff_7J0KD5mKrp0Vvzr7lt3OU09vwQwhkpOPPYv2Y/edit?usp=sharing"",""งบพรบ!BL15"")"),0)</f>
        <v>0</v>
      </c>
      <c r="N123" s="230">
        <f ca="1">IFERROR(__xludf.DUMMYFUNCTION("IMPORTRANGE(""https://docs.google.com/spreadsheets/d/1-uDff_7J0KD5mKrp0Vvzr7lt3OU09vwQwhkpOPPYv2Y/edit?usp=sharing"",""งบพรบ!BN15"")"),0)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IFERROR(__xludf.DUMMYFUNCTION("IMPORTRANGE(""https://docs.google.com/spreadsheets/d/1ItG2mGa2ceCfYo0BwxsXqNm01IGEUdYcSSLTEv9YCik/edit?usp=sharing"",""เบิกจ่ายกองทุน!R15"")"),308920)</f>
        <v>308920</v>
      </c>
      <c r="R123" s="230">
        <f ca="1">IFERROR(__xludf.DUMMYFUNCTION("IMPORTRANGE(""https://docs.google.com/spreadsheets/d/1ItG2mGa2ceCfYo0BwxsXqNm01IGEUdYcSSLTEv9YCik/edit?usp=sharing"",""เบิกจ่ายกองทุน!S15"")"),308920)</f>
        <v>308920</v>
      </c>
      <c r="S123" s="230">
        <f ca="1">IFERROR(__xludf.DUMMYFUNCTION("IMPORTRANGE(""https://docs.google.com/spreadsheets/d/1ItG2mGa2ceCfYo0BwxsXqNm01IGEUdYcSSLTEv9YCik/edit?usp=sharing"",""เบิกจ่ายกองทุน!T15"")"),0)</f>
        <v>0</v>
      </c>
      <c r="T123" s="230">
        <f t="shared" ca="1" si="77"/>
        <v>0</v>
      </c>
      <c r="U123" s="230">
        <f t="shared" ca="1" si="78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IFERROR(__xludf.DUMMYFUNCTION("IMPORTRANGE(""https://docs.google.com/spreadsheets/d/1-uDff_7J0KD5mKrp0Vvzr7lt3OU09vwQwhkpOPPYv2Y/edit?usp=sharing"",""งบพรบ!BJ15"")"),0)</f>
        <v>0</v>
      </c>
      <c r="M126" s="230">
        <f ca="1">IFERROR(__xludf.DUMMYFUNCTION("IMPORTRANGE(""https://docs.google.com/spreadsheets/d/1-uDff_7J0KD5mKrp0Vvzr7lt3OU09vwQwhkpOPPYv2Y/edit?usp=sharing"",""งบพรบ!BM15"")"),0)</f>
        <v>0</v>
      </c>
      <c r="N126" s="230">
        <f ca="1">IFERROR(__xludf.DUMMYFUNCTION("IMPORTRANGE(""https://docs.google.com/spreadsheets/d/1-uDff_7J0KD5mKrp0Vvzr7lt3OU09vwQwhkpOPPYv2Y/edit?usp=sharing"",""งบพรบ!BO15"")"),0)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IFERROR(__xludf.DUMMYFUNCTION("IMPORTRANGE(""https://docs.google.com/spreadsheets/d/1eHaY18a8A9IcSdp1K8H6x8fbOy06t2VsZHhMHf-1x7Y/edit?usp=sharing"",""แผน!FF15"")"),60)</f>
        <v>60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IFERROR(__xludf.DUMMYFUNCTION("IMPORTRANGE(""https://docs.google.com/spreadsheets/d/1eHaY18a8A9IcSdp1K8H6x8fbOy06t2VsZHhMHf-1x7Y/edit?usp=sharing"",""แผน!FG15"")"),0)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IFERROR(__xludf.DUMMYFUNCTION("IMPORTRANGE(""https://docs.google.com/spreadsheets/d/1eHaY18a8A9IcSdp1K8H6x8fbOy06t2VsZHhMHf-1x7Y/edit?usp=sharing"",""แผน!FH15"")"),20)</f>
        <v>20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IFERROR(__xludf.DUMMYFUNCTION("IMPORTRANGE(""https://docs.google.com/spreadsheets/d/1eHaY18a8A9IcSdp1K8H6x8fbOy06t2VsZHhMHf-1x7Y/edit?usp=sharing"",""แผน!FI15"")"),0)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3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80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8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116300</v>
      </c>
      <c r="M140" s="515">
        <f t="shared" ca="1" si="89"/>
        <v>111300</v>
      </c>
      <c r="N140" s="515">
        <f t="shared" ca="1" si="89"/>
        <v>0</v>
      </c>
      <c r="O140" s="515">
        <f t="shared" ref="O140:O148" ca="1" si="90">IF(L140&gt;0,N140*100/L140,0)</f>
        <v>0</v>
      </c>
      <c r="P140" s="515">
        <f t="shared" ref="P140:P148" ca="1" si="91">IF(M140&gt;0,N140*100/M140,0)</f>
        <v>0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116300</v>
      </c>
      <c r="M142" s="230">
        <f t="shared" ca="1" si="95"/>
        <v>111300</v>
      </c>
      <c r="N142" s="230">
        <f t="shared" ca="1" si="95"/>
        <v>0</v>
      </c>
      <c r="O142" s="230">
        <f t="shared" ca="1" si="90"/>
        <v>0</v>
      </c>
      <c r="P142" s="230">
        <f t="shared" ca="1" si="91"/>
        <v>0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116300</v>
      </c>
      <c r="M143" s="230">
        <f t="shared" ca="1" si="97"/>
        <v>111300</v>
      </c>
      <c r="N143" s="230">
        <f t="shared" ca="1" si="97"/>
        <v>0</v>
      </c>
      <c r="O143" s="230">
        <f t="shared" ca="1" si="90"/>
        <v>0</v>
      </c>
      <c r="P143" s="230">
        <f t="shared" ca="1" si="91"/>
        <v>0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IFERROR(__xludf.DUMMYFUNCTION("IMPORTRANGE(""https://docs.google.com/spreadsheets/d/1-uDff_7J0KD5mKrp0Vvzr7lt3OU09vwQwhkpOPPYv2Y/edit?usp=sharing"",""งบพรบ!BQ15"")"),116300)</f>
        <v>116300</v>
      </c>
      <c r="M145" s="230">
        <f ca="1">IFERROR(__xludf.DUMMYFUNCTION("IMPORTRANGE(""https://docs.google.com/spreadsheets/d/1-uDff_7J0KD5mKrp0Vvzr7lt3OU09vwQwhkpOPPYv2Y/edit?usp=sharing"",""งบพรบ!BV15"")"),111300)</f>
        <v>111300</v>
      </c>
      <c r="N145" s="230">
        <f ca="1">IFERROR(__xludf.DUMMYFUNCTION("IMPORTRANGE(""https://docs.google.com/spreadsheets/d/1-uDff_7J0KD5mKrp0Vvzr7lt3OU09vwQwhkpOPPYv2Y/edit?usp=sharing"",""งบพรบ!BX15"")"),0)</f>
        <v>0</v>
      </c>
      <c r="O145" s="230">
        <f t="shared" ca="1" si="90"/>
        <v>0</v>
      </c>
      <c r="P145" s="230">
        <f t="shared" ca="1" si="91"/>
        <v>0</v>
      </c>
      <c r="Q145" s="230">
        <f ca="1">IFERROR(__xludf.DUMMYFUNCTION("IMPORTRANGE(""https://docs.google.com/spreadsheets/d/1ItG2mGa2ceCfYo0BwxsXqNm01IGEUdYcSSLTEv9YCik/edit?usp=sharing"",""เบิกจ่ายกองทุน!BB15"")"),0)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IFERROR(__xludf.DUMMYFUNCTION("IMPORTRANGE(""https://docs.google.com/spreadsheets/d/1ItG2mGa2ceCfYo0BwxsXqNm01IGEUdYcSSLTEv9YCik/edit?usp=sharing"",""เบิกจ่ายกองทุน!BC15"")"),0)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IFERROR(__xludf.DUMMYFUNCTION("IMPORTRANGE(""https://docs.google.com/spreadsheets/d/1ItG2mGa2ceCfYo0BwxsXqNm01IGEUdYcSSLTEv9YCik/edit?usp=sharing"",""เบิกจ่ายกองทุน!BD15"")"),0)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IFERROR(__xludf.DUMMYFUNCTION("IMPORTRANGE(""https://docs.google.com/spreadsheets/d/1-uDff_7J0KD5mKrp0Vvzr7lt3OU09vwQwhkpOPPYv2Y/edit?usp=sharing"",""งบพรบ!BT15"")"),0)</f>
        <v>0</v>
      </c>
      <c r="M148" s="230">
        <f ca="1">IFERROR(__xludf.DUMMYFUNCTION("IMPORTRANGE(""https://docs.google.com/spreadsheets/d/1-uDff_7J0KD5mKrp0Vvzr7lt3OU09vwQwhkpOPPYv2Y/edit?usp=sharing"",""งบพรบ!BW15"")"),0)</f>
        <v>0</v>
      </c>
      <c r="N148" s="230">
        <f ca="1">IFERROR(__xludf.DUMMYFUNCTION("IMPORTRANGE(""https://docs.google.com/spreadsheets/d/1-uDff_7J0KD5mKrp0Vvzr7lt3OU09vwQwhkpOPPYv2Y/edit?usp=sharing"",""งบพรบ!BY15"")"),0)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IFERROR(__xludf.DUMMYFUNCTION("IMPORTRANGE(""https://docs.google.com/spreadsheets/d/1eHaY18a8A9IcSdp1K8H6x8fbOy06t2VsZHhMHf-1x7Y/edit?usp=sharing"",""แผน!U15"")"),30)</f>
        <v>30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IFERROR(__xludf.DUMMYFUNCTION("IMPORTRANGE(""https://docs.google.com/spreadsheets/d/1eHaY18a8A9IcSdp1K8H6x8fbOy06t2VsZHhMHf-1x7Y/edit?usp=sharing"",""แผน!V15"")"),3)</f>
        <v>3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IFERROR(__xludf.DUMMYFUNCTION("IMPORTRANGE(""https://docs.google.com/spreadsheets/d/1eHaY18a8A9IcSdp1K8H6x8fbOy06t2VsZHhMHf-1x7Y/edit?usp=sharing"",""แผน!W15"")"),80)</f>
        <v>80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IFERROR(__xludf.DUMMYFUNCTION("IMPORTRANGE(""https://docs.google.com/spreadsheets/d/1eHaY18a8A9IcSdp1K8H6x8fbOy06t2VsZHhMHf-1x7Y/edit?usp=sharing"",""แผน!X15"")"),8)</f>
        <v>8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IFERROR(__xludf.DUMMYFUNCTION("IMPORTRANGE(""https://docs.google.com/spreadsheets/d/1eHaY18a8A9IcSdp1K8H6x8fbOy06t2VsZHhMHf-1x7Y/edit?usp=sharing"",""แผน!Y15"")"),3)</f>
        <v>3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I168</f>
        <v>10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3000</v>
      </c>
      <c r="M158" s="515">
        <f t="shared" ca="1" si="103"/>
        <v>2250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3000</v>
      </c>
      <c r="M160" s="230">
        <f t="shared" ca="1" si="109"/>
        <v>2250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3000</v>
      </c>
      <c r="M161" s="230">
        <f t="shared" ca="1" si="111"/>
        <v>2250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IFERROR(__xludf.DUMMYFUNCTION("IMPORTRANGE(""https://docs.google.com/spreadsheets/d/1-uDff_7J0KD5mKrp0Vvzr7lt3OU09vwQwhkpOPPYv2Y/edit?usp=sharing"",""งบพรบ!CA15"")"),3000)</f>
        <v>3000</v>
      </c>
      <c r="M163" s="230">
        <f ca="1">IFERROR(__xludf.DUMMYFUNCTION("IMPORTRANGE(""https://docs.google.com/spreadsheets/d/1-uDff_7J0KD5mKrp0Vvzr7lt3OU09vwQwhkpOPPYv2Y/edit?usp=sharing"",""งบพรบ!CF15"")"),2250)</f>
        <v>2250</v>
      </c>
      <c r="N163" s="230">
        <f ca="1">IFERROR(__xludf.DUMMYFUNCTION("IMPORTRANGE(""https://docs.google.com/spreadsheets/d/1-uDff_7J0KD5mKrp0Vvzr7lt3OU09vwQwhkpOPPYv2Y/edit?usp=sharing"",""งบพรบ!CH15"")"),0)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IFERROR(__xludf.DUMMYFUNCTION("IMPORTRANGE(""https://docs.google.com/spreadsheets/d/1ItG2mGa2ceCfYo0BwxsXqNm01IGEUdYcSSLTEv9YCik/edit?usp=sharing"",""เบิกจ่ายกองทุน!AG15"")"),0)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IFERROR(__xludf.DUMMYFUNCTION("IMPORTRANGE(""https://docs.google.com/spreadsheets/d/1ItG2mGa2ceCfYo0BwxsXqNm01IGEUdYcSSLTEv9YCik/edit?usp=sharing"",""เบิกจ่ายกองทุน!AH15"")"),0)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IFERROR(__xludf.DUMMYFUNCTION("IMPORTRANGE(""https://docs.google.com/spreadsheets/d/1ItG2mGa2ceCfYo0BwxsXqNm01IGEUdYcSSLTEv9YCik/edit?usp=sharing"",""เบิกจ่ายกองทุน!AI15"")"),0)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IFERROR(__xludf.DUMMYFUNCTION("IMPORTRANGE(""https://docs.google.com/spreadsheets/d/1-uDff_7J0KD5mKrp0Vvzr7lt3OU09vwQwhkpOPPYv2Y/edit?usp=sharing"",""งบพรบ!CD15"")"),0)</f>
        <v>0</v>
      </c>
      <c r="M166" s="230">
        <f ca="1">IFERROR(__xludf.DUMMYFUNCTION("IMPORTRANGE(""https://docs.google.com/spreadsheets/d/1-uDff_7J0KD5mKrp0Vvzr7lt3OU09vwQwhkpOPPYv2Y/edit?usp=sharing"",""งบพรบ!CG15"")"),0)</f>
        <v>0</v>
      </c>
      <c r="N166" s="230">
        <f ca="1">IFERROR(__xludf.DUMMYFUNCTION("IMPORTRANGE(""https://docs.google.com/spreadsheets/d/1-uDff_7J0KD5mKrp0Vvzr7lt3OU09vwQwhkpOPPYv2Y/edit?usp=sharing"",""งบพรบ!CI15"")"),0)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IFERROR(__xludf.DUMMYFUNCTION("IMPORTRANGE(""https://docs.google.com/spreadsheets/d/1eHaY18a8A9IcSdp1K8H6x8fbOy06t2VsZHhMHf-1x7Y/edit?usp=sharing"",""แผน!Z15"")"),10)</f>
        <v>10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111760</v>
      </c>
      <c r="N174" s="515">
        <f t="shared" ca="1" si="117"/>
        <v>90340</v>
      </c>
      <c r="O174" s="515">
        <f t="shared" ref="O174:O182" ca="1" si="118">IF(L174&gt;0,N174*100/L174,0)</f>
        <v>461.15364982133741</v>
      </c>
      <c r="P174" s="515">
        <f t="shared" ref="P174:P182" ca="1" si="119">IF(M174&gt;0,N174*100/M174,0)</f>
        <v>80.833929849677887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111760</v>
      </c>
      <c r="N176" s="230">
        <f t="shared" ca="1" si="123"/>
        <v>90340</v>
      </c>
      <c r="O176" s="230">
        <f t="shared" ca="1" si="118"/>
        <v>461.15364982133741</v>
      </c>
      <c r="P176" s="230">
        <f t="shared" ca="1" si="119"/>
        <v>80.833929849677887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111760</v>
      </c>
      <c r="N177" s="230">
        <f t="shared" ca="1" si="125"/>
        <v>90340</v>
      </c>
      <c r="O177" s="230">
        <f t="shared" ca="1" si="118"/>
        <v>461.15364982133741</v>
      </c>
      <c r="P177" s="230">
        <f t="shared" ca="1" si="119"/>
        <v>80.833929849677887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IFERROR(__xludf.DUMMYFUNCTION("IMPORTRANGE(""https://docs.google.com/spreadsheets/d/1-uDff_7J0KD5mKrp0Vvzr7lt3OU09vwQwhkpOPPYv2Y/edit?usp=sharing"",""งบพรบ!CK15"")"),19590)</f>
        <v>19590</v>
      </c>
      <c r="M179" s="230">
        <f ca="1">IFERROR(__xludf.DUMMYFUNCTION("IMPORTRANGE(""https://docs.google.com/spreadsheets/d/1-uDff_7J0KD5mKrp0Vvzr7lt3OU09vwQwhkpOPPYv2Y/edit?usp=sharing"",""งบพรบ!CP15"")"),111760)</f>
        <v>111760</v>
      </c>
      <c r="N179" s="230">
        <f ca="1">IFERROR(__xludf.DUMMYFUNCTION("IMPORTRANGE(""https://docs.google.com/spreadsheets/d/1-uDff_7J0KD5mKrp0Vvzr7lt3OU09vwQwhkpOPPYv2Y/edit?usp=sharing"",""งบพรบ!CR15"")"),90340)</f>
        <v>90340</v>
      </c>
      <c r="O179" s="230">
        <f t="shared" ca="1" si="118"/>
        <v>461.15364982133741</v>
      </c>
      <c r="P179" s="230">
        <f t="shared" ca="1" si="119"/>
        <v>80.833929849677887</v>
      </c>
      <c r="Q179" s="230">
        <f ca="1">IFERROR(__xludf.DUMMYFUNCTION("IMPORTRANGE(""https://docs.google.com/spreadsheets/d/1ItG2mGa2ceCfYo0BwxsXqNm01IGEUdYcSSLTEv9YCik/edit?usp=sharing"",""เบิกจ่ายกองทุน!BE15"")"),0)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IFERROR(__xludf.DUMMYFUNCTION("IMPORTRANGE(""https://docs.google.com/spreadsheets/d/1ItG2mGa2ceCfYo0BwxsXqNm01IGEUdYcSSLTEv9YCik/edit?usp=sharing"",""เบิกจ่ายกองทุน!BF15"")"),0)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IFERROR(__xludf.DUMMYFUNCTION("IMPORTRANGE(""https://docs.google.com/spreadsheets/d/1ItG2mGa2ceCfYo0BwxsXqNm01IGEUdYcSSLTEv9YCik/edit?usp=sharing"",""เบิกจ่ายกองทุน!BG15"")"),0)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IFERROR(__xludf.DUMMYFUNCTION("IMPORTRANGE(""https://docs.google.com/spreadsheets/d/1-uDff_7J0KD5mKrp0Vvzr7lt3OU09vwQwhkpOPPYv2Y/edit?usp=sharing"",""งบพรบ!CN15"")"),0)</f>
        <v>0</v>
      </c>
      <c r="M182" s="230">
        <f ca="1">IFERROR(__xludf.DUMMYFUNCTION("IMPORTRANGE(""https://docs.google.com/spreadsheets/d/1-uDff_7J0KD5mKrp0Vvzr7lt3OU09vwQwhkpOPPYv2Y/edit?usp=sharing"",""งบพรบ!CQ15"")"),0)</f>
        <v>0</v>
      </c>
      <c r="N182" s="230">
        <f ca="1">IFERROR(__xludf.DUMMYFUNCTION("IMPORTRANGE(""https://docs.google.com/spreadsheets/d/1-uDff_7J0KD5mKrp0Vvzr7lt3OU09vwQwhkpOPPYv2Y/edit?usp=sharing"",""งบพรบ!CS15"")"),0)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IFERROR(__xludf.DUMMYFUNCTION("IMPORTRANGE(""https://docs.google.com/spreadsheets/d/1eHaY18a8A9IcSdp1K8H6x8fbOy06t2VsZHhMHf-1x7Y/edit?usp=sharing"",""แผน!AA15"")"),7)</f>
        <v>7</v>
      </c>
      <c r="J184" s="520">
        <v>7</v>
      </c>
      <c r="K184" s="230">
        <f t="shared" ref="K184:K186" ca="1" si="129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66500</v>
      </c>
      <c r="M187" s="515">
        <f t="shared" ca="1" si="131"/>
        <v>43200</v>
      </c>
      <c r="N187" s="515">
        <f t="shared" ca="1" si="131"/>
        <v>1120</v>
      </c>
      <c r="O187" s="515">
        <f t="shared" ref="O187:O195" ca="1" si="132">IF(L187&gt;0,N187*100/L187,0)</f>
        <v>1.6842105263157894</v>
      </c>
      <c r="P187" s="515">
        <f t="shared" ref="P187:P195" ca="1" si="133">IF(M187&gt;0,N187*100/M187,0)</f>
        <v>2.5925925925925926</v>
      </c>
      <c r="Q187" s="515">
        <f t="shared" ref="Q187:S187" ca="1" si="134">Q188+Q189</f>
        <v>70000</v>
      </c>
      <c r="R187" s="515">
        <f t="shared" ca="1" si="134"/>
        <v>70000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66500</v>
      </c>
      <c r="M189" s="230">
        <f t="shared" ca="1" si="137"/>
        <v>43200</v>
      </c>
      <c r="N189" s="230">
        <f t="shared" ca="1" si="137"/>
        <v>1120</v>
      </c>
      <c r="O189" s="230">
        <f t="shared" ca="1" si="132"/>
        <v>1.6842105263157894</v>
      </c>
      <c r="P189" s="230">
        <f t="shared" ca="1" si="133"/>
        <v>2.5925925925925926</v>
      </c>
      <c r="Q189" s="230">
        <f t="shared" ca="1" si="138"/>
        <v>70000</v>
      </c>
      <c r="R189" s="230">
        <f t="shared" ca="1" si="138"/>
        <v>70000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66500</v>
      </c>
      <c r="M190" s="230">
        <f t="shared" ca="1" si="139"/>
        <v>43200</v>
      </c>
      <c r="N190" s="230">
        <f t="shared" ca="1" si="139"/>
        <v>1120</v>
      </c>
      <c r="O190" s="230">
        <f t="shared" ca="1" si="132"/>
        <v>1.6842105263157894</v>
      </c>
      <c r="P190" s="230">
        <f t="shared" ca="1" si="133"/>
        <v>2.5925925925925926</v>
      </c>
      <c r="Q190" s="230">
        <f t="shared" ref="Q190:S190" ca="1" si="140">Q191+Q192</f>
        <v>70000</v>
      </c>
      <c r="R190" s="230">
        <f t="shared" ca="1" si="140"/>
        <v>70000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IFERROR(__xludf.DUMMYFUNCTION("IMPORTRANGE(""https://docs.google.com/spreadsheets/d/1-uDff_7J0KD5mKrp0Vvzr7lt3OU09vwQwhkpOPPYv2Y/edit?usp=sharing"",""งบพรบ!CU15"")"),66500)</f>
        <v>66500</v>
      </c>
      <c r="M192" s="230">
        <f ca="1">IFERROR(__xludf.DUMMYFUNCTION("IMPORTRANGE(""https://docs.google.com/spreadsheets/d/1-uDff_7J0KD5mKrp0Vvzr7lt3OU09vwQwhkpOPPYv2Y/edit?usp=sharing"",""งบพรบ!CZ15"")"),43200)</f>
        <v>43200</v>
      </c>
      <c r="N192" s="230">
        <f ca="1">IFERROR(__xludf.DUMMYFUNCTION("IMPORTRANGE(""https://docs.google.com/spreadsheets/d/1-uDff_7J0KD5mKrp0Vvzr7lt3OU09vwQwhkpOPPYv2Y/edit?usp=sharing"",""งบพรบ!DB15"")"),1120)</f>
        <v>1120</v>
      </c>
      <c r="O192" s="230">
        <f t="shared" ca="1" si="132"/>
        <v>1.6842105263157894</v>
      </c>
      <c r="P192" s="230">
        <f t="shared" ca="1" si="133"/>
        <v>2.5925925925925926</v>
      </c>
      <c r="Q192" s="230">
        <f ca="1">IFERROR(__xludf.DUMMYFUNCTION("IMPORTRANGE(""https://docs.google.com/spreadsheets/d/1ItG2mGa2ceCfYo0BwxsXqNm01IGEUdYcSSLTEv9YCik/edit?usp=sharing"",""เบิกจ่ายกองทุน!AV15"")"),70000)</f>
        <v>70000</v>
      </c>
      <c r="R192" s="230">
        <f ca="1">IFERROR(__xludf.DUMMYFUNCTION("IMPORTRANGE(""https://docs.google.com/spreadsheets/d/1ItG2mGa2ceCfYo0BwxsXqNm01IGEUdYcSSLTEv9YCik/edit?usp=sharing"",""เบิกจ่ายกองทุน!AW15"")"),70000)</f>
        <v>70000</v>
      </c>
      <c r="S192" s="230">
        <f ca="1">IFERROR(__xludf.DUMMYFUNCTION("IMPORTRANGE(""https://docs.google.com/spreadsheets/d/1ItG2mGa2ceCfYo0BwxsXqNm01IGEUdYcSSLTEv9YCik/edit?usp=sharing"",""เบิกจ่ายกองทุน!AX15"")"),0)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IFERROR(__xludf.DUMMYFUNCTION("IMPORTRANGE(""https://docs.google.com/spreadsheets/d/1-uDff_7J0KD5mKrp0Vvzr7lt3OU09vwQwhkpOPPYv2Y/edit?usp=sharing"",""งบพรบ!CX15"")"),0)</f>
        <v>0</v>
      </c>
      <c r="M195" s="230">
        <f ca="1">IFERROR(__xludf.DUMMYFUNCTION("IMPORTRANGE(""https://docs.google.com/spreadsheets/d/1-uDff_7J0KD5mKrp0Vvzr7lt3OU09vwQwhkpOPPYv2Y/edit?usp=sharing"",""งบพรบ!DA15"")"),0)</f>
        <v>0</v>
      </c>
      <c r="N195" s="230">
        <f ca="1">IFERROR(__xludf.DUMMYFUNCTION("IMPORTRANGE(""https://docs.google.com/spreadsheets/d/1-uDff_7J0KD5mKrp0Vvzr7lt3OU09vwQwhkpOPPYv2Y/edit?usp=sharing"",""งบพรบ!DC15"")"),0)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IFERROR(__xludf.DUMMYFUNCTION("IMPORTRANGE(""https://docs.google.com/spreadsheets/d/1eHaY18a8A9IcSdp1K8H6x8fbOy06t2VsZHhMHf-1x7Y/edit?usp=sharing"",""แผน!AB15"")"),6000)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IFERROR(__xludf.DUMMYFUNCTION("IMPORTRANGE(""https://docs.google.com/spreadsheets/d/1eHaY18a8A9IcSdp1K8H6x8fbOy06t2VsZHhMHf-1x7Y/edit?usp=sharing"",""แผน!AE15"")"),4)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4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52000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IFERROR(__xludf.DUMMYFUNCTION("IMPORTRANGE(""https://docs.google.com/spreadsheets/d/1eHaY18a8A9IcSdp1K8H6x8fbOy06t2VsZHhMHf-1x7Y/edit?usp=sharing"",""แผน!AG15"")"),4000)</f>
        <v>4000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IFERROR(__xludf.DUMMYFUNCTION("IMPORTRANGE(""https://docs.google.com/spreadsheets/d/1eHaY18a8A9IcSdp1K8H6x8fbOy06t2VsZHhMHf-1x7Y/edit?usp=sharing"",""แผน!AH15"")"),0)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IFERROR(__xludf.DUMMYFUNCTION("IMPORTRANGE(""https://docs.google.com/spreadsheets/d/1eHaY18a8A9IcSdp1K8H6x8fbOy06t2VsZHhMHf-1x7Y/edit?usp=sharing"",""แผน!AI15"")"),32000)</f>
        <v>32000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IFERROR(__xludf.DUMMYFUNCTION("IMPORTRANGE(""https://docs.google.com/spreadsheets/d/1eHaY18a8A9IcSdp1K8H6x8fbOy06t2VsZHhMHf-1x7Y/edit?usp=sharing"",""แผน!AJ15"")"),16000)</f>
        <v>16000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IFERROR(__xludf.DUMMYFUNCTION("IMPORTRANGE(""https://docs.google.com/spreadsheets/d/1eHaY18a8A9IcSdp1K8H6x8fbOy06t2VsZHhMHf-1x7Y/edit?usp=sharing"",""แผน!AK15"")"),4)</f>
        <v>4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IFERROR(__xludf.DUMMYFUNCTION("IMPORTRANGE(""https://docs.google.com/spreadsheets/d/1eHaY18a8A9IcSdp1K8H6x8fbOy06t2VsZHhMHf-1x7Y/edit?usp=sharing"",""แผน!JX15"")"),4)</f>
        <v>4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IFERROR(__xludf.DUMMYFUNCTION("IMPORTRANGE(""https://docs.google.com/spreadsheets/d/1eHaY18a8A9IcSdp1K8H6x8fbOy06t2VsZHhMHf-1x7Y/edit?usp=sharing"",""แผน!JY15"")"),0)</f>
        <v>0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IFERROR(__xludf.DUMMYFUNCTION("IMPORTRANGE(""https://docs.google.com/spreadsheets/d/1eHaY18a8A9IcSdp1K8H6x8fbOy06t2VsZHhMHf-1x7Y/edit?usp=sharing"",""แผน!AM15"")"),0)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IFERROR(__xludf.DUMMYFUNCTION("IMPORTRANGE(""https://docs.google.com/spreadsheets/d/1eHaY18a8A9IcSdp1K8H6x8fbOy06t2VsZHhMHf-1x7Y/edit?usp=sharing"",""แผน!AN15"")"),0)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IFERROR(__xludf.DUMMYFUNCTION("IMPORTRANGE(""https://docs.google.com/spreadsheets/d/1eHaY18a8A9IcSdp1K8H6x8fbOy06t2VsZHhMHf-1x7Y/edit?usp=sharing"",""แผน!AO15"")"),0)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IFERROR(__xludf.DUMMYFUNCTION("IMPORTRANGE(""https://docs.google.com/spreadsheets/d/1eHaY18a8A9IcSdp1K8H6x8fbOy06t2VsZHhMHf-1x7Y/edit?usp=sharing"",""แผน!AP15"")"),0)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IFERROR(__xludf.DUMMYFUNCTION("IMPORTRANGE(""https://docs.google.com/spreadsheets/d/1eHaY18a8A9IcSdp1K8H6x8fbOy06t2VsZHhMHf-1x7Y/edit?usp=sharing"",""แผน!AP15"")"),0)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60000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IFERROR(__xludf.DUMMYFUNCTION("IMPORTRANGE(""https://docs.google.com/spreadsheets/d/1eHaY18a8A9IcSdp1K8H6x8fbOy06t2VsZHhMHf-1x7Y/edit?usp=sharing"",""แผน!AR15"")"),7000)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IFERROR(__xludf.DUMMYFUNCTION("IMPORTRANGE(""https://docs.google.com/spreadsheets/d/1eHaY18a8A9IcSdp1K8H6x8fbOy06t2VsZHhMHf-1x7Y/edit?usp=sharing"",""แผน!AS15"")"),1500)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IFERROR(__xludf.DUMMYFUNCTION("IMPORTRANGE(""https://docs.google.com/spreadsheets/d/1eHaY18a8A9IcSdp1K8H6x8fbOy06t2VsZHhMHf-1x7Y/edit?usp=sharing"",""แผน!AT15"")"),0)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IFERROR(__xludf.DUMMYFUNCTION("IMPORTRANGE(""https://docs.google.com/spreadsheets/d/1eHaY18a8A9IcSdp1K8H6x8fbOy06t2VsZHhMHf-1x7Y/edit?usp=sharing"",""แผน!AV15"")"),60000)</f>
        <v>60000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IFERROR(__xludf.DUMMYFUNCTION("IMPORTRANGE(""https://docs.google.com/spreadsheets/d/1eHaY18a8A9IcSdp1K8H6x8fbOy06t2VsZHhMHf-1x7Y/edit?usp=sharing"",""แผน!AV15"")"),60000)</f>
        <v>60000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IFERROR(__xludf.DUMMYFUNCTION("IMPORTRANGE(""https://docs.google.com/spreadsheets/d/1eHaY18a8A9IcSdp1K8H6x8fbOy06t2VsZHhMHf-1x7Y/edit?usp=sharing"",""แผน!AU15"")"),0)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IFERROR(__xludf.DUMMYFUNCTION("IMPORTRANGE(""https://docs.google.com/spreadsheets/d/1eHaY18a8A9IcSdp1K8H6x8fbOy06t2VsZHhMHf-1x7Y/edit?usp=sharing"",""แผน!AX15"")"),0)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IFERROR(__xludf.DUMMYFUNCTION("IMPORTRANGE(""https://docs.google.com/spreadsheets/d/1eHaY18a8A9IcSdp1K8H6x8fbOy06t2VsZHhMHf-1x7Y/edit?usp=sharing"",""แผน!AY15"")"),0)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IFERROR(__xludf.DUMMYFUNCTION("IMPORTRANGE(""https://docs.google.com/spreadsheets/d/1eHaY18a8A9IcSdp1K8H6x8fbOy06t2VsZHhMHf-1x7Y/edit?usp=sharing"",""แผน!AZ15"")"),0)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IFERROR(__xludf.DUMMYFUNCTION("IMPORTRANGE(""https://docs.google.com/spreadsheets/d/1eHaY18a8A9IcSdp1K8H6x8fbOy06t2VsZHhMHf-1x7Y/edit?usp=sharing"",""แผน!BA15"")"),0)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IFERROR(__xludf.DUMMYFUNCTION("IMPORTRANGE(""https://docs.google.com/spreadsheets/d/1eHaY18a8A9IcSdp1K8H6x8fbOy06t2VsZHhMHf-1x7Y/edit?usp=sharing"",""แผน!BG15"")"),0)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IFERROR(__xludf.DUMMYFUNCTION("IMPORTRANGE(""https://docs.google.com/spreadsheets/d/1eHaY18a8A9IcSdp1K8H6x8fbOy06t2VsZHhMHf-1x7Y/edit?usp=sharing"",""แผน!BB15"")"),0)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IFERROR(__xludf.DUMMYFUNCTION("IMPORTRANGE(""https://docs.google.com/spreadsheets/d/1eHaY18a8A9IcSdp1K8H6x8fbOy06t2VsZHhMHf-1x7Y/edit?usp=sharing"",""แผน!BC15"")"),0)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IFERROR(__xludf.DUMMYFUNCTION("IMPORTRANGE(""https://docs.google.com/spreadsheets/d/1eHaY18a8A9IcSdp1K8H6x8fbOy06t2VsZHhMHf-1x7Y/edit?usp=sharing"",""แผน!BD15"")"),0)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IFERROR(__xludf.DUMMYFUNCTION("IMPORTRANGE(""https://docs.google.com/spreadsheets/d/1eHaY18a8A9IcSdp1K8H6x8fbOy06t2VsZHhMHf-1x7Y/edit?usp=sharing"",""แผน!BE15"")"),0)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IFERROR(__xludf.DUMMYFUNCTION("IMPORTRANGE(""https://docs.google.com/spreadsheets/d/1eHaY18a8A9IcSdp1K8H6x8fbOy06t2VsZHhMHf-1x7Y/edit?usp=sharing"",""แผน!BH15"")"),0)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24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53440</v>
      </c>
      <c r="R267" s="583">
        <f t="shared" ca="1" si="164"/>
        <v>53440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53440</v>
      </c>
      <c r="R269" s="592">
        <f t="shared" ca="1" si="168"/>
        <v>53440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53440</v>
      </c>
      <c r="R270" s="592">
        <f t="shared" ca="1" si="170"/>
        <v>53440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IFERROR(__xludf.DUMMYFUNCTION("IMPORTRANGE(""https://docs.google.com/spreadsheets/d/1-uDff_7J0KD5mKrp0Vvzr7lt3OU09vwQwhkpOPPYv2Y/edit?usp=sharing"",""งบพรบ!DE15"")"),0)</f>
        <v>0</v>
      </c>
      <c r="M272" s="592">
        <f ca="1">IFERROR(__xludf.DUMMYFUNCTION("IMPORTRANGE(""https://docs.google.com/spreadsheets/d/1-uDff_7J0KD5mKrp0Vvzr7lt3OU09vwQwhkpOPPYv2Y/edit?usp=sharing"",""งบพรบ!DJ15"")"),5000)</f>
        <v>5000</v>
      </c>
      <c r="N272" s="592">
        <f ca="1">IFERROR(__xludf.DUMMYFUNCTION("IMPORTRANGE(""https://docs.google.com/spreadsheets/d/1-uDff_7J0KD5mKrp0Vvzr7lt3OU09vwQwhkpOPPYv2Y/edit?usp=sharing"",""งบพรบ!DL15"")"),0)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IFERROR(__xludf.DUMMYFUNCTION("IMPORTRANGE(""https://docs.google.com/spreadsheets/d/1ItG2mGa2ceCfYo0BwxsXqNm01IGEUdYcSSLTEv9YCik/edit?usp=sharing"",""เบิกจ่ายกองทุน!AJ15"")"),53440)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IFERROR(__xludf.DUMMYFUNCTION("IMPORTRANGE(""https://docs.google.com/spreadsheets/d/1ItG2mGa2ceCfYo0BwxsXqNm01IGEUdYcSSLTEv9YCik/edit?usp=sharing"",""เบิกจ่ายกองทุน!AK15"")"),53440)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IFERROR(__xludf.DUMMYFUNCTION("IMPORTRANGE(""https://docs.google.com/spreadsheets/d/1ItG2mGa2ceCfYo0BwxsXqNm01IGEUdYcSSLTEv9YCik/edit?usp=sharing"",""เบิกจ่ายกองทุน!AL15"")"),0)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IFERROR(__xludf.DUMMYFUNCTION("IMPORTRANGE(""https://docs.google.com/spreadsheets/d/1-uDff_7J0KD5mKrp0Vvzr7lt3OU09vwQwhkpOPPYv2Y/edit?usp=sharing"",""งบพรบ!DH15"")"),0)</f>
        <v>0</v>
      </c>
      <c r="M275" s="592">
        <f ca="1">IFERROR(__xludf.DUMMYFUNCTION("IMPORTRANGE(""https://docs.google.com/spreadsheets/d/1-uDff_7J0KD5mKrp0Vvzr7lt3OU09vwQwhkpOPPYv2Y/edit?usp=sharing"",""งบพรบ!DK15"")"),0)</f>
        <v>0</v>
      </c>
      <c r="N275" s="592">
        <f ca="1">IFERROR(__xludf.DUMMYFUNCTION("IMPORTRANGE(""https://docs.google.com/spreadsheets/d/1-uDff_7J0KD5mKrp0Vvzr7lt3OU09vwQwhkpOPPYv2Y/edit?usp=sharing"",""งบพรบ!DM15"")"),0)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IFERROR(__xludf.DUMMYFUNCTION("IMPORTRANGE(""https://docs.google.com/spreadsheets/d/1eHaY18a8A9IcSdp1K8H6x8fbOy06t2VsZHhMHf-1x7Y/edit?usp=sharing"",""แผน!EC15"")"),24)</f>
        <v>24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30</v>
      </c>
      <c r="J281" s="619">
        <f t="shared" si="173"/>
        <v>0</v>
      </c>
      <c r="K281" s="620">
        <f t="shared" ref="K281:K282" ca="1" si="174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300</v>
      </c>
      <c r="J282" s="619">
        <f t="shared" si="175"/>
        <v>0</v>
      </c>
      <c r="K282" s="620">
        <f t="shared" ca="1" si="174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85120</v>
      </c>
      <c r="M283" s="515">
        <f t="shared" ca="1" si="176"/>
        <v>85120</v>
      </c>
      <c r="N283" s="515">
        <f t="shared" ca="1" si="176"/>
        <v>9280</v>
      </c>
      <c r="O283" s="515">
        <f t="shared" ref="O283:O291" ca="1" si="177">IF(L283&gt;0,N283*100/L283,0)</f>
        <v>10.902255639097744</v>
      </c>
      <c r="P283" s="515">
        <f t="shared" ref="P283:P291" ca="1" si="178">IF(M283&gt;0,N283*100/M283,0)</f>
        <v>10.902255639097744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85120</v>
      </c>
      <c r="M285" s="230">
        <f t="shared" ca="1" si="182"/>
        <v>85120</v>
      </c>
      <c r="N285" s="230">
        <f t="shared" ca="1" si="182"/>
        <v>9280</v>
      </c>
      <c r="O285" s="230">
        <f t="shared" ca="1" si="177"/>
        <v>10.902255639097744</v>
      </c>
      <c r="P285" s="230">
        <f t="shared" ca="1" si="178"/>
        <v>10.902255639097744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85120</v>
      </c>
      <c r="M286" s="230">
        <f t="shared" ca="1" si="184"/>
        <v>85120</v>
      </c>
      <c r="N286" s="230">
        <f t="shared" ca="1" si="184"/>
        <v>9280</v>
      </c>
      <c r="O286" s="230">
        <f t="shared" ca="1" si="177"/>
        <v>10.902255639097744</v>
      </c>
      <c r="P286" s="230">
        <f t="shared" ca="1" si="178"/>
        <v>10.902255639097744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IFERROR(__xludf.DUMMYFUNCTION("IMPORTRANGE(""https://docs.google.com/spreadsheets/d/1-uDff_7J0KD5mKrp0Vvzr7lt3OU09vwQwhkpOPPYv2Y/edit?usp=sharing"",""งบพรบ!DO15"")"),85120)</f>
        <v>85120</v>
      </c>
      <c r="M288" s="230">
        <f ca="1">IFERROR(__xludf.DUMMYFUNCTION("IMPORTRANGE(""https://docs.google.com/spreadsheets/d/1-uDff_7J0KD5mKrp0Vvzr7lt3OU09vwQwhkpOPPYv2Y/edit?usp=sharing"",""งบพรบ!DT15"")"),85120)</f>
        <v>85120</v>
      </c>
      <c r="N288" s="230">
        <f ca="1">IFERROR(__xludf.DUMMYFUNCTION("IMPORTRANGE(""https://docs.google.com/spreadsheets/d/1-uDff_7J0KD5mKrp0Vvzr7lt3OU09vwQwhkpOPPYv2Y/edit?usp=sharing"",""งบพรบ!DV15"")"),9280)</f>
        <v>9280</v>
      </c>
      <c r="O288" s="230">
        <f t="shared" ca="1" si="177"/>
        <v>10.902255639097744</v>
      </c>
      <c r="P288" s="230">
        <f t="shared" ca="1" si="178"/>
        <v>10.902255639097744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IFERROR(__xludf.DUMMYFUNCTION("IMPORTRANGE(""https://docs.google.com/spreadsheets/d/1-uDff_7J0KD5mKrp0Vvzr7lt3OU09vwQwhkpOPPYv2Y/edit?usp=sharing"",""งบพรบ!DR15"")"),0)</f>
        <v>0</v>
      </c>
      <c r="M291" s="230">
        <f ca="1">IFERROR(__xludf.DUMMYFUNCTION("IMPORTRANGE(""https://docs.google.com/spreadsheets/d/1-uDff_7J0KD5mKrp0Vvzr7lt3OU09vwQwhkpOPPYv2Y/edit?usp=sharing"",""งบพรบ!DU15"")"),0)</f>
        <v>0</v>
      </c>
      <c r="N291" s="230">
        <f ca="1">IFERROR(__xludf.DUMMYFUNCTION("IMPORTRANGE(""https://docs.google.com/spreadsheets/d/1-uDff_7J0KD5mKrp0Vvzr7lt3OU09vwQwhkpOPPYv2Y/edit?usp=sharing"",""งบพรบ!DW15"")"),0)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IFERROR(__xludf.DUMMYFUNCTION("IMPORTRANGE(""https://docs.google.com/spreadsheets/d/1eHaY18a8A9IcSdp1K8H6x8fbOy06t2VsZHhMHf-1x7Y/edit?usp=sharing"",""แผน!EE15"")"),300)</f>
        <v>300</v>
      </c>
      <c r="J293" s="520">
        <v>0</v>
      </c>
      <c r="K293" s="521">
        <f t="shared" ref="K293:K294" ca="1" si="188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IFERROR(__xludf.DUMMYFUNCTION("IMPORTRANGE(""https://docs.google.com/spreadsheets/d/1eHaY18a8A9IcSdp1K8H6x8fbOy06t2VsZHhMHf-1x7Y/edit?usp=sharing"",""แผน!ED15"")"),30)</f>
        <v>30</v>
      </c>
      <c r="J294" s="340">
        <f>J297</f>
        <v>0</v>
      </c>
      <c r="K294" s="518">
        <f t="shared" ca="1" si="188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IFERROR(__xludf.DUMMYFUNCTION("IMPORTRANGE(""https://docs.google.com/spreadsheets/d/1eHaY18a8A9IcSdp1K8H6x8fbOy06t2VsZHhMHf-1x7Y/edit?usp=sharing"",""แผน!ED15"")"),30)</f>
        <v>30</v>
      </c>
      <c r="J296" s="520">
        <v>0</v>
      </c>
      <c r="K296" s="521">
        <f t="shared" ref="K296:K297" ca="1" si="189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IFERROR(__xludf.DUMMYFUNCTION("IMPORTRANGE(""https://docs.google.com/spreadsheets/d/1eHaY18a8A9IcSdp1K8H6x8fbOy06t2VsZHhMHf-1x7Y/edit?usp=sharing"",""แผน!ED15"")"),30)</f>
        <v>30</v>
      </c>
      <c r="J297" s="520">
        <v>0</v>
      </c>
      <c r="K297" s="521">
        <f t="shared" ca="1" si="189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389000</v>
      </c>
      <c r="M304" s="515">
        <f t="shared" ca="1" si="191"/>
        <v>389000</v>
      </c>
      <c r="N304" s="515">
        <f t="shared" ca="1" si="191"/>
        <v>184143.46</v>
      </c>
      <c r="O304" s="515">
        <f t="shared" ref="O304:O312" ca="1" si="192">IF(L304&gt;0,N304*100/L304,0)</f>
        <v>47.337650385604114</v>
      </c>
      <c r="P304" s="515">
        <f t="shared" ref="P304:P312" ca="1" si="193">IF(M304&gt;0,N304*100/M304,0)</f>
        <v>47.337650385604114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389000</v>
      </c>
      <c r="M306" s="230">
        <f t="shared" ca="1" si="197"/>
        <v>389000</v>
      </c>
      <c r="N306" s="230">
        <f t="shared" ca="1" si="197"/>
        <v>184143.46</v>
      </c>
      <c r="O306" s="230">
        <f t="shared" ca="1" si="192"/>
        <v>47.337650385604114</v>
      </c>
      <c r="P306" s="230">
        <f t="shared" ca="1" si="193"/>
        <v>47.337650385604114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389000</v>
      </c>
      <c r="M307" s="230">
        <f t="shared" ca="1" si="199"/>
        <v>389000</v>
      </c>
      <c r="N307" s="230">
        <f t="shared" ca="1" si="199"/>
        <v>184143.46</v>
      </c>
      <c r="O307" s="230">
        <f t="shared" ca="1" si="192"/>
        <v>47.337650385604114</v>
      </c>
      <c r="P307" s="230">
        <f t="shared" ca="1" si="193"/>
        <v>47.337650385604114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IFERROR(__xludf.DUMMYFUNCTION("IMPORTRANGE(""https://docs.google.com/spreadsheets/d/1-uDff_7J0KD5mKrp0Vvzr7lt3OU09vwQwhkpOPPYv2Y/edit?usp=sharing"",""งบพรบ!DY15"")"),389000)</f>
        <v>389000</v>
      </c>
      <c r="M309" s="230">
        <f ca="1">IFERROR(__xludf.DUMMYFUNCTION("IMPORTRANGE(""https://docs.google.com/spreadsheets/d/1-uDff_7J0KD5mKrp0Vvzr7lt3OU09vwQwhkpOPPYv2Y/edit?usp=sharing"",""งบพรบ!ED15"")"),389000)</f>
        <v>389000</v>
      </c>
      <c r="N309" s="230">
        <f ca="1">IFERROR(__xludf.DUMMYFUNCTION("IMPORTRANGE(""https://docs.google.com/spreadsheets/d/1-uDff_7J0KD5mKrp0Vvzr7lt3OU09vwQwhkpOPPYv2Y/edit?usp=sharing"",""งบพรบ!EF15"")"),184143.46)</f>
        <v>184143.46</v>
      </c>
      <c r="O309" s="230">
        <f t="shared" ca="1" si="192"/>
        <v>47.337650385604114</v>
      </c>
      <c r="P309" s="230">
        <f t="shared" ca="1" si="193"/>
        <v>47.337650385604114</v>
      </c>
      <c r="Q309" s="230">
        <f ca="1">IFERROR(__xludf.DUMMYFUNCTION("IMPORTRANGE(""https://docs.google.com/spreadsheets/d/1ItG2mGa2ceCfYo0BwxsXqNm01IGEUdYcSSLTEv9YCik/edit?usp=sharing"",""เบิกจ่ายกองทุน!AP15"")"),144609.24)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IFERROR(__xludf.DUMMYFUNCTION("IMPORTRANGE(""https://docs.google.com/spreadsheets/d/1ItG2mGa2ceCfYo0BwxsXqNm01IGEUdYcSSLTEv9YCik/edit?usp=sharing"",""เบิกจ่ายกองทุน!AQ15"")"),144609)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IFERROR(__xludf.DUMMYFUNCTION("IMPORTRANGE(""https://docs.google.com/spreadsheets/d/1ItG2mGa2ceCfYo0BwxsXqNm01IGEUdYcSSLTEv9YCik/edit?usp=sharing"",""เบิกจ่ายกองทุน!AR15"")"),0)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IFERROR(__xludf.DUMMYFUNCTION("IMPORTRANGE(""https://docs.google.com/spreadsheets/d/1-uDff_7J0KD5mKrp0Vvzr7lt3OU09vwQwhkpOPPYv2Y/edit?usp=sharing"",""งบพรบ!EB15"")"),0)</f>
        <v>0</v>
      </c>
      <c r="M312" s="230">
        <f ca="1">IFERROR(__xludf.DUMMYFUNCTION("IMPORTRANGE(""https://docs.google.com/spreadsheets/d/1-uDff_7J0KD5mKrp0Vvzr7lt3OU09vwQwhkpOPPYv2Y/edit?usp=sharing"",""งบพรบ!EE15"")"),0)</f>
        <v>0</v>
      </c>
      <c r="N312" s="230">
        <f ca="1">IFERROR(__xludf.DUMMYFUNCTION("IMPORTRANGE(""https://docs.google.com/spreadsheets/d/1-uDff_7J0KD5mKrp0Vvzr7lt3OU09vwQwhkpOPPYv2Y/edit?usp=sharing"",""งบพรบ!EG15"")"),0)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IFERROR(__xludf.DUMMYFUNCTION("IMPORTRANGE(""https://docs.google.com/spreadsheets/d/1eHaY18a8A9IcSdp1K8H6x8fbOy06t2VsZHhMHf-1x7Y/edit?usp=sharing"",""แผน!EF15"")"),20)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IFERROR(__xludf.DUMMYFUNCTION("IMPORTRANGE(""https://docs.google.com/spreadsheets/d/1-uDff_7J0KD5mKrp0Vvzr7lt3OU09vwQwhkpOPPYv2Y/edit?usp=sharing"",""งบพรบ!EI15"")"),0)</f>
        <v>0</v>
      </c>
      <c r="M326" s="230">
        <f ca="1">IFERROR(__xludf.DUMMYFUNCTION("IMPORTRANGE(""https://docs.google.com/spreadsheets/d/1-uDff_7J0KD5mKrp0Vvzr7lt3OU09vwQwhkpOPPYv2Y/edit?usp=sharing"",""งบพรบ!EN15"")"),0)</f>
        <v>0</v>
      </c>
      <c r="N326" s="230">
        <f ca="1">IFERROR(__xludf.DUMMYFUNCTION("IMPORTRANGE(""https://docs.google.com/spreadsheets/d/1-uDff_7J0KD5mKrp0Vvzr7lt3OU09vwQwhkpOPPYv2Y/edit?usp=sharing"",""งบพรบ!EP15"")"),0)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IFERROR(__xludf.DUMMYFUNCTION("IMPORTRANGE(""https://docs.google.com/spreadsheets/d/1-uDff_7J0KD5mKrp0Vvzr7lt3OU09vwQwhkpOPPYv2Y/edit?usp=sharing"",""งบพรบ!EL15"")"),0)</f>
        <v>0</v>
      </c>
      <c r="M329" s="230">
        <f ca="1">IFERROR(__xludf.DUMMYFUNCTION("IMPORTRANGE(""https://docs.google.com/spreadsheets/d/1-uDff_7J0KD5mKrp0Vvzr7lt3OU09vwQwhkpOPPYv2Y/edit?usp=sharing"",""งบพรบ!EO15"")"),0)</f>
        <v>0</v>
      </c>
      <c r="N329" s="230">
        <f ca="1">IFERROR(__xludf.DUMMYFUNCTION("IMPORTRANGE(""https://docs.google.com/spreadsheets/d/1-uDff_7J0KD5mKrp0Vvzr7lt3OU09vwQwhkpOPPYv2Y/edit?usp=sharing"",""งบพรบ!EQ15"")"),0)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IFERROR(__xludf.DUMMYFUNCTION("IMPORTRANGE(""https://docs.google.com/spreadsheets/d/1eHaY18a8A9IcSdp1K8H6x8fbOy06t2VsZHhMHf-1x7Y/edit?usp=sharing"",""แผน!EJ15"")"),0)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4000</v>
      </c>
      <c r="J333" s="635">
        <f ca="1">J345+J348+J349+J350+J354</f>
        <v>5372</v>
      </c>
      <c r="K333" s="636">
        <f ca="1">IF(I333&gt;0,J333*100/I333,0)</f>
        <v>134.30000000000001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116000</v>
      </c>
      <c r="M334" s="515">
        <f t="shared" ca="1" si="216"/>
        <v>121000</v>
      </c>
      <c r="N334" s="515">
        <f t="shared" ca="1" si="216"/>
        <v>89700</v>
      </c>
      <c r="O334" s="515">
        <f t="shared" ref="O334:O342" ca="1" si="217">IF(L334&gt;0,N334*100/L334,0)</f>
        <v>77.327586206896555</v>
      </c>
      <c r="P334" s="515">
        <f t="shared" ref="P334:P342" ca="1" si="218">IF(M334&gt;0,N334*100/M334,0)</f>
        <v>74.132231404958674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116000</v>
      </c>
      <c r="M336" s="230">
        <f t="shared" ca="1" si="222"/>
        <v>121000</v>
      </c>
      <c r="N336" s="230">
        <f t="shared" ca="1" si="222"/>
        <v>89700</v>
      </c>
      <c r="O336" s="230">
        <f t="shared" ca="1" si="217"/>
        <v>77.327586206896555</v>
      </c>
      <c r="P336" s="230">
        <f t="shared" ca="1" si="218"/>
        <v>74.132231404958674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116000</v>
      </c>
      <c r="M337" s="230">
        <f t="shared" ca="1" si="224"/>
        <v>121000</v>
      </c>
      <c r="N337" s="230">
        <f t="shared" ca="1" si="224"/>
        <v>89700</v>
      </c>
      <c r="O337" s="230">
        <f t="shared" ca="1" si="217"/>
        <v>77.327586206896555</v>
      </c>
      <c r="P337" s="230">
        <f t="shared" ca="1" si="218"/>
        <v>74.132231404958674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IFERROR(__xludf.DUMMYFUNCTION("IMPORTRANGE(""https://docs.google.com/spreadsheets/d/1-uDff_7J0KD5mKrp0Vvzr7lt3OU09vwQwhkpOPPYv2Y/edit?usp=sharing"",""งบพรบ!ES15"")"),116000)</f>
        <v>116000</v>
      </c>
      <c r="M339" s="230">
        <f ca="1">IFERROR(__xludf.DUMMYFUNCTION("IMPORTRANGE(""https://docs.google.com/spreadsheets/d/1-uDff_7J0KD5mKrp0Vvzr7lt3OU09vwQwhkpOPPYv2Y/edit?usp=sharing"",""งบพรบ!EX15"")"),121000)</f>
        <v>121000</v>
      </c>
      <c r="N339" s="230">
        <f ca="1">IFERROR(__xludf.DUMMYFUNCTION("IMPORTRANGE(""https://docs.google.com/spreadsheets/d/1-uDff_7J0KD5mKrp0Vvzr7lt3OU09vwQwhkpOPPYv2Y/edit?usp=sharing"",""งบพรบ!EZ15"")"),89700)</f>
        <v>89700</v>
      </c>
      <c r="O339" s="230">
        <f t="shared" ca="1" si="217"/>
        <v>77.327586206896555</v>
      </c>
      <c r="P339" s="230">
        <f t="shared" ca="1" si="218"/>
        <v>74.132231404958674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IFERROR(__xludf.DUMMYFUNCTION("IMPORTRANGE(""https://docs.google.com/spreadsheets/d/1-uDff_7J0KD5mKrp0Vvzr7lt3OU09vwQwhkpOPPYv2Y/edit?usp=sharing"",""งบพรบ!EV15"")"),0)</f>
        <v>0</v>
      </c>
      <c r="M342" s="230">
        <f ca="1">IFERROR(__xludf.DUMMYFUNCTION("IMPORTRANGE(""https://docs.google.com/spreadsheets/d/1-uDff_7J0KD5mKrp0Vvzr7lt3OU09vwQwhkpOPPYv2Y/edit?usp=sharing"",""งบพรบ!EY15"")"),0)</f>
        <v>0</v>
      </c>
      <c r="N342" s="230">
        <f ca="1">IFERROR(__xludf.DUMMYFUNCTION("IMPORTRANGE(""https://docs.google.com/spreadsheets/d/1-uDff_7J0KD5mKrp0Vvzr7lt3OU09vwQwhkpOPPYv2Y/edit?usp=sharing"",""งบพรบ!FA15"")"),0)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2903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IFERROR(__xludf.DUMMYFUNCTION("IMPORTRANGE(""https://docs.google.com/spreadsheets/d/1eHaY18a8A9IcSdp1K8H6x8fbOy06t2VsZHhMHf-1x7Y/edit?usp=sharing"",""แผน!EK15"")"),4000)</f>
        <v>4000</v>
      </c>
      <c r="J345" s="189">
        <f ca="1">IFERROR(__xludf.DUMMYFUNCTION("IMPORTRANGE(""https://docs.google.com/spreadsheets/d/1awYsYK3VOup2i3Pq_Yjnu8DRu_mYwSBnCR2QPthd0rU/edit?usp=sharing"",""ศูนย์ยกเว้นโฉนด!D15"")"),2893)</f>
        <v>2893</v>
      </c>
      <c r="K345" s="230">
        <f ca="1">IF(I345&gt;0,J345*100/I345,0)</f>
        <v>72.325000000000003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IFERROR(__xludf.DUMMYFUNCTION("IMPORTRANGE(""https://docs.google.com/spreadsheets/d/1eHaY18a8A9IcSdp1K8H6x8fbOy06t2VsZHhMHf-1x7Y/edit?usp=sharing"",""แผน!EL15"")"),5)</f>
        <v>5</v>
      </c>
      <c r="J347" s="189">
        <f ca="1">IFERROR(__xludf.DUMMYFUNCTION("IMPORTRANGE(""https://docs.google.com/spreadsheets/d/1awYsYK3VOup2i3Pq_Yjnu8DRu_mYwSBnCR2QPthd0rU/edit?usp=sharing"",""ศูนย์รวม!E15"")"),0)</f>
        <v>0</v>
      </c>
      <c r="K347" s="230">
        <f ca="1">IF(I347&gt;0,J347*100/I347,0)</f>
        <v>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IFERROR(__xludf.DUMMYFUNCTION("IMPORTRANGE(""https://docs.google.com/spreadsheets/d/1awYsYK3VOup2i3Pq_Yjnu8DRu_mYwSBnCR2QPthd0rU/edit?usp=sharing"",""ศูนย์ยกเว้นโฉนด!F15"")"),0)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IFERROR(__xludf.DUMMYFUNCTION("IMPORTRANGE(""https://docs.google.com/spreadsheets/d/1awYsYK3VOup2i3Pq_Yjnu8DRu_mYwSBnCR2QPthd0rU/edit?usp=sharing"",""ศูนย์ยกเว้นโฉนด!G15"")"),10)</f>
        <v>10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IFERROR(__xludf.DUMMYFUNCTION("IMPORTRANGE(""https://docs.google.com/spreadsheets/d/1awYsYK3VOup2i3Pq_Yjnu8DRu_mYwSBnCR2QPthd0rU/edit?usp=sharing"",""ศูนย์ยกเว้นโฉนด!H15"")"),0)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11246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IFERROR(__xludf.DUMMYFUNCTION("IMPORTRANGE(""https://docs.google.com/spreadsheets/d/1awYsYK3VOup2i3Pq_Yjnu8DRu_mYwSBnCR2QPthd0rU/edit?usp=sharing"",""โฉนดM3!G15"")"),8777)</f>
        <v>8777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IFERROR(__xludf.DUMMYFUNCTION("IMPORTRANGE(""https://docs.google.com/spreadsheets/d/1awYsYK3VOup2i3Pq_Yjnu8DRu_mYwSBnCR2QPthd0rU/edit?usp=sharing"",""โฉนดM3!H15"")"),2469)</f>
        <v>2469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656110</v>
      </c>
      <c r="M357" s="515">
        <f t="shared" ca="1" si="228"/>
        <v>656110</v>
      </c>
      <c r="N357" s="515">
        <f t="shared" ca="1" si="228"/>
        <v>164856.39000000001</v>
      </c>
      <c r="O357" s="515">
        <f t="shared" ref="O357:O365" ca="1" si="229">IF(L357&gt;0,N357*100/L357,0)</f>
        <v>25.126333998872145</v>
      </c>
      <c r="P357" s="515">
        <f t="shared" ref="P357:P365" ca="1" si="230">IF(M357&gt;0,N357*100/M357,0)</f>
        <v>25.126333998872145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656110</v>
      </c>
      <c r="M359" s="230">
        <f t="shared" ca="1" si="234"/>
        <v>656110</v>
      </c>
      <c r="N359" s="230">
        <f t="shared" ca="1" si="234"/>
        <v>164856.39000000001</v>
      </c>
      <c r="O359" s="230">
        <f t="shared" ca="1" si="229"/>
        <v>25.126333998872145</v>
      </c>
      <c r="P359" s="230">
        <f t="shared" ca="1" si="230"/>
        <v>25.126333998872145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656110</v>
      </c>
      <c r="M360" s="230">
        <f t="shared" ca="1" si="236"/>
        <v>656110</v>
      </c>
      <c r="N360" s="230">
        <f t="shared" ca="1" si="236"/>
        <v>164856.39000000001</v>
      </c>
      <c r="O360" s="230">
        <f t="shared" ca="1" si="229"/>
        <v>25.126333998872145</v>
      </c>
      <c r="P360" s="230">
        <f t="shared" ca="1" si="230"/>
        <v>25.126333998872145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IFERROR(__xludf.DUMMYFUNCTION("IMPORTRANGE(""https://docs.google.com/spreadsheets/d/1-uDff_7J0KD5mKrp0Vvzr7lt3OU09vwQwhkpOPPYv2Y/edit?usp=sharing"",""งบพรบ!FC15"")"),656110)</f>
        <v>656110</v>
      </c>
      <c r="M362" s="230">
        <f ca="1">IFERROR(__xludf.DUMMYFUNCTION("IMPORTRANGE(""https://docs.google.com/spreadsheets/d/1-uDff_7J0KD5mKrp0Vvzr7lt3OU09vwQwhkpOPPYv2Y/edit?usp=sharing"",""งบพรบ!FH15"")"),656110)</f>
        <v>656110</v>
      </c>
      <c r="N362" s="230">
        <f ca="1">IFERROR(__xludf.DUMMYFUNCTION("IMPORTRANGE(""https://docs.google.com/spreadsheets/d/1-uDff_7J0KD5mKrp0Vvzr7lt3OU09vwQwhkpOPPYv2Y/edit?usp=sharing"",""งบพรบ!FJ15"")"),164856.39)</f>
        <v>164856.39000000001</v>
      </c>
      <c r="O362" s="230">
        <f t="shared" ca="1" si="229"/>
        <v>25.126333998872145</v>
      </c>
      <c r="P362" s="230">
        <f t="shared" ca="1" si="230"/>
        <v>25.126333998872145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IFERROR(__xludf.DUMMYFUNCTION("IMPORTRANGE(""https://docs.google.com/spreadsheets/d/1-uDff_7J0KD5mKrp0Vvzr7lt3OU09vwQwhkpOPPYv2Y/edit?usp=sharing"",""งบพรบ!FF15"")"),0)</f>
        <v>0</v>
      </c>
      <c r="M365" s="230">
        <f ca="1">IFERROR(__xludf.DUMMYFUNCTION("IMPORTRANGE(""https://docs.google.com/spreadsheets/d/1-uDff_7J0KD5mKrp0Vvzr7lt3OU09vwQwhkpOPPYv2Y/edit?usp=sharing"",""งบพรบ!FI15"")"),0)</f>
        <v>0</v>
      </c>
      <c r="N365" s="230">
        <f ca="1">IFERROR(__xludf.DUMMYFUNCTION("IMPORTRANGE(""https://docs.google.com/spreadsheets/d/1-uDff_7J0KD5mKrp0Vvzr7lt3OU09vwQwhkpOPPYv2Y/edit?usp=sharing"",""งบพรบ!FK15"")"),0)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535</v>
      </c>
      <c r="J366" s="313">
        <f t="shared" ca="1" si="240"/>
        <v>295</v>
      </c>
      <c r="K366" s="314">
        <f ca="1">IF(I366&gt;0,J366*100/I366,0)</f>
        <v>55.140186915887853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IFERROR(__xludf.DUMMYFUNCTION("IMPORTRANGE(""https://docs.google.com/spreadsheets/d/1tdoBKaGub7dwA3U6UFTqxio9LNnvDCQjHKmttSEBsFQ/edit?usp=sharing"",""จัดที่ดิน!AB15"")"),102)</f>
        <v>102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IFERROR(__xludf.DUMMYFUNCTION("IMPORTRANGE(""https://docs.google.com/spreadsheets/d/1eHaY18a8A9IcSdp1K8H6x8fbOy06t2VsZHhMHf-1x7Y/edit?usp=sharing"",""แผน!EW15"")"),4250)</f>
        <v>4250</v>
      </c>
      <c r="J369" s="646">
        <f ca="1">IFERROR(__xludf.DUMMYFUNCTION("IMPORTRANGE(""https://docs.google.com/spreadsheets/d/1tdoBKaGub7dwA3U6UFTqxio9LNnvDCQjHKmttSEBsFQ/edit?usp=sharing"",""จัดที่ดิน!AC15"")"),456.24)</f>
        <v>456.24</v>
      </c>
      <c r="K369" s="230">
        <f t="shared" ca="1" si="241"/>
        <v>10.735058823529412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IFERROR(__xludf.DUMMYFUNCTION("IMPORTRANGE(""https://docs.google.com/spreadsheets/d/1eHaY18a8A9IcSdp1K8H6x8fbOy06t2VsZHhMHf-1x7Y/edit?usp=sharing"",""แผน!EX15"")"),805)</f>
        <v>805</v>
      </c>
      <c r="J370" s="189">
        <f ca="1">IFERROR(__xludf.DUMMYFUNCTION("IMPORTRANGE(""https://docs.google.com/spreadsheets/d/1tdoBKaGub7dwA3U6UFTqxio9LNnvDCQjHKmttSEBsFQ/edit?usp=sharing"",""จัดที่ดิน!AD15"")"),364)</f>
        <v>364</v>
      </c>
      <c r="K370" s="230">
        <f t="shared" ca="1" si="241"/>
        <v>45.217391304347828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IFERROR(__xludf.DUMMYFUNCTION("IMPORTRANGE(""https://docs.google.com/spreadsheets/d/1tdoBKaGub7dwA3U6UFTqxio9LNnvDCQjHKmttSEBsFQ/edit?usp=sharing"",""จัดที่ดิน!AE15"")"),2769.81999999999)</f>
        <v>2769.8199999999902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IFERROR(__xludf.DUMMYFUNCTION("IMPORTRANGE(""https://docs.google.com/spreadsheets/d/1eHaY18a8A9IcSdp1K8H6x8fbOy06t2VsZHhMHf-1x7Y/edit?usp=sharing"",""แผน!EY15"")"),535)</f>
        <v>535</v>
      </c>
      <c r="J372" s="189">
        <f ca="1">IFERROR(__xludf.DUMMYFUNCTION("IMPORTRANGE(""https://docs.google.com/spreadsheets/d/1tdoBKaGub7dwA3U6UFTqxio9LNnvDCQjHKmttSEBsFQ/edit?usp=sharing"",""จัดที่ดิน!AF15"")"),295)</f>
        <v>295</v>
      </c>
      <c r="K372" s="230">
        <f t="shared" ca="1" si="241"/>
        <v>55.140186915887853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IFERROR(__xludf.DUMMYFUNCTION("IMPORTRANGE(""https://docs.google.com/spreadsheets/d/1tdoBKaGub7dwA3U6UFTqxio9LNnvDCQjHKmttSEBsFQ/edit?usp=sharing"",""จัดที่ดิน!AG15"")"),2326.64)</f>
        <v>2326.64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2000</v>
      </c>
      <c r="J375" s="654">
        <f t="shared" ca="1" si="242"/>
        <v>12</v>
      </c>
      <c r="K375" s="655">
        <f ca="1">IF(I375&gt;0,J375*100/I375,0)</f>
        <v>0.6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125000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125000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125000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IFERROR(__xludf.DUMMYFUNCTION("IMPORTRANGE(""https://docs.google.com/spreadsheets/d/1ItG2mGa2ceCfYo0BwxsXqNm01IGEUdYcSSLTEv9YCik/edit?usp=sharing"",""เบิกจ่ายกองทุน!AY15"")"),125000)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IFERROR(__xludf.DUMMYFUNCTION("IMPORTRANGE(""https://docs.google.com/spreadsheets/d/1ItG2mGa2ceCfYo0BwxsXqNm01IGEUdYcSSLTEv9YCik/edit?usp=sharing"",""เบิกจ่ายกองทุน!AZ15"")"),0)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IFERROR(__xludf.DUMMYFUNCTION("IMPORTRANGE(""https://docs.google.com/spreadsheets/d/1ItG2mGa2ceCfYo0BwxsXqNm01IGEUdYcSSLTEv9YCik/edit?usp=sharing"",""เบิกจ่ายกองทุน!BA15"")"),0)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IFERROR(__xludf.DUMMYFUNCTION("IMPORTRANGE(""https://docs.google.com/spreadsheets/d/1w5rwWK1o49a35cNtocGL0gxDwhFSTZUQu90BiH9_zqM/edit?usp=sharing"",""RTK!H15"")"),3)</f>
        <v>3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IFERROR(__xludf.DUMMYFUNCTION("IMPORTRANGE(""https://docs.google.com/spreadsheets/d/1w5rwWK1o49a35cNtocGL0gxDwhFSTZUQu90BiH9_zqM/edit?usp=sharing"",""RTK!G15"")"),2000)</f>
        <v>2000</v>
      </c>
      <c r="J387" s="189">
        <f ca="1">IFERROR(__xludf.DUMMYFUNCTION("IMPORTRANGE(""https://docs.google.com/spreadsheets/d/1w5rwWK1o49a35cNtocGL0gxDwhFSTZUQu90BiH9_zqM/edit?usp=sharing"",""RTK!I15"")"),12)</f>
        <v>12</v>
      </c>
      <c r="K387" s="230">
        <f t="shared" ca="1" si="255"/>
        <v>0.6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IFERROR(__xludf.DUMMYFUNCTION("IMPORTRANGE(""https://docs.google.com/spreadsheets/d/1w5rwWK1o49a35cNtocGL0gxDwhFSTZUQu90BiH9_zqM/edit?usp=sharing"",""RTK!L15"")"),0)</f>
        <v>0</v>
      </c>
      <c r="K388" s="592">
        <f t="shared" si="255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IFERROR(__xludf.DUMMYFUNCTION("IMPORTRANGE(""https://docs.google.com/spreadsheets/d/1w5rwWK1o49a35cNtocGL0gxDwhFSTZUQu90BiH9_zqM/edit?usp=sharing"",""RTK!K15"")"),0)</f>
        <v>0</v>
      </c>
      <c r="J389" s="661">
        <f ca="1">IFERROR(__xludf.DUMMYFUNCTION("IMPORTRANGE(""https://docs.google.com/spreadsheets/d/1w5rwWK1o49a35cNtocGL0gxDwhFSTZUQu90BiH9_zqM/edit?usp=sharing"",""RTK!M15"")"),0)</f>
        <v>0</v>
      </c>
      <c r="K389" s="592">
        <f t="shared" ca="1" si="255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IFERROR(__xludf.DUMMYFUNCTION("IMPORTRANGE(""https://docs.google.com/spreadsheets/d/1ItG2mGa2ceCfYo0BwxsXqNm01IGEUdYcSSLTEv9YCik/edit?usp=sharing"",""เบิกจ่ายกองทุน!BH15"")"),0)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IFERROR(__xludf.DUMMYFUNCTION("IMPORTRANGE(""https://docs.google.com/spreadsheets/d/1ItG2mGa2ceCfYo0BwxsXqNm01IGEUdYcSSLTEv9YCik/edit?usp=sharing"",""เบิกจ่ายกองทุน!BI15"")"),0)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IFERROR(__xludf.DUMMYFUNCTION("IMPORTRANGE(""https://docs.google.com/spreadsheets/d/1ItG2mGa2ceCfYo0BwxsXqNm01IGEUdYcSSLTEv9YCik/edit?usp=sharing"",""เบิกจ่ายกองทุน!BJ15"")"),0)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IFERROR(__xludf.DUMMYFUNCTION("IMPORTRANGE(""https://docs.google.com/spreadsheets/d/1eHaY18a8A9IcSdp1K8H6x8fbOy06t2VsZHhMHf-1x7Y/edit?usp=sharing"",""แผน!HJ15"")"),0)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IFERROR(__xludf.DUMMYFUNCTION("IMPORTRANGE(""https://docs.google.com/spreadsheets/d/1eHaY18a8A9IcSdp1K8H6x8fbOy06t2VsZHhMHf-1x7Y/edit?usp=sharing"",""แผน!HK15"")"),0)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IFERROR(__xludf.DUMMYFUNCTION("IMPORTRANGE(""https://docs.google.com/spreadsheets/d/1eHaY18a8A9IcSdp1K8H6x8fbOy06t2VsZHhMHf-1x7Y/edit?usp=sharing"",""แผน!HJ15"")"),0)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IFERROR(__xludf.DUMMYFUNCTION("IMPORTRANGE(""https://docs.google.com/spreadsheets/d/1eHaY18a8A9IcSdp1K8H6x8fbOy06t2VsZHhMHf-1x7Y/edit?usp=sharing"",""แผน!HK15"")"),0)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IFERROR(__xludf.DUMMYFUNCTION("IMPORTRANGE(""https://docs.google.com/spreadsheets/d/1eHaY18a8A9IcSdp1K8H6x8fbOy06t2VsZHhMHf-1x7Y/edit?usp=sharing"",""แผน!HJ15"")"),0)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IFERROR(__xludf.DUMMYFUNCTION("IMPORTRANGE(""https://docs.google.com/spreadsheets/d/1eHaY18a8A9IcSdp1K8H6x8fbOy06t2VsZHhMHf-1x7Y/edit?usp=sharing"",""แผน!HK15"")"),0)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IFERROR(__xludf.DUMMYFUNCTION("IMPORTRANGE(""https://docs.google.com/spreadsheets/d/1eHaY18a8A9IcSdp1K8H6x8fbOy06t2VsZHhMHf-1x7Y/edit?usp=sharing"",""แผน!HL15"")"),0)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IFERROR(__xludf.DUMMYFUNCTION("IMPORTRANGE(""https://docs.google.com/spreadsheets/d/1eHaY18a8A9IcSdp1K8H6x8fbOy06t2VsZHhMHf-1x7Y/edit?usp=sharing"",""แผน!HM15"")"),0)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IFERROR(__xludf.DUMMYFUNCTION("IMPORTRANGE(""https://docs.google.com/spreadsheets/d/1eHaY18a8A9IcSdp1K8H6x8fbOy06t2VsZHhMHf-1x7Y/edit?usp=sharing"",""แผน!HN15"")"),0)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IFERROR(__xludf.DUMMYFUNCTION("IMPORTRANGE(""https://docs.google.com/spreadsheets/d/1eHaY18a8A9IcSdp1K8H6x8fbOy06t2VsZHhMHf-1x7Y/edit?usp=sharing"",""แผน!HO15"")"),0)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IFERROR(__xludf.DUMMYFUNCTION("IMPORTRANGE(""https://docs.google.com/spreadsheets/d/1ItG2mGa2ceCfYo0BwxsXqNm01IGEUdYcSSLTEv9YCik/edit?usp=sharing"",""เบิกจ่ายกองทุน!X15"")"),0)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IFERROR(__xludf.DUMMYFUNCTION("IMPORTRANGE(""https://docs.google.com/spreadsheets/d/1ItG2mGa2ceCfYo0BwxsXqNm01IGEUdYcSSLTEv9YCik/edit?usp=sharing"",""เบิกจ่ายกองทุน!Y15"")"),0)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IFERROR(__xludf.DUMMYFUNCTION("IMPORTRANGE(""https://docs.google.com/spreadsheets/d/1ItG2mGa2ceCfYo0BwxsXqNm01IGEUdYcSSLTEv9YCik/edit?usp=sharing"",""เบิกจ่ายกองทุน!Z15"")"),0)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IFERROR(__xludf.DUMMYFUNCTION("IMPORTRANGE(""https://docs.google.com/spreadsheets/d/1eHaY18a8A9IcSdp1K8H6x8fbOy06t2VsZHhMHf-1x7Y/edit?usp=sharing"",""แผน!GX15"")"),0)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IFERROR(__xludf.DUMMYFUNCTION("IMPORTRANGE(""https://docs.google.com/spreadsheets/d/1eHaY18a8A9IcSdp1K8H6x8fbOy06t2VsZHhMHf-1x7Y/edit?usp=sharing"",""แผน!GY15"")"),0)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IFERROR(__xludf.DUMMYFUNCTION("IMPORTRANGE(""https://docs.google.com/spreadsheets/d/1eHaY18a8A9IcSdp1K8H6x8fbOy06t2VsZHhMHf-1x7Y/edit?usp=sharing"",""แผน!GZ15"")"),0)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IFERROR(__xludf.DUMMYFUNCTION("IMPORTRANGE(""https://docs.google.com/spreadsheets/d/1eHaY18a8A9IcSdp1K8H6x8fbOy06t2VsZHhMHf-1x7Y/edit?usp=sharing"",""แผน!HA15"")"),0)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IFERROR(__xludf.DUMMYFUNCTION("IMPORTRANGE(""https://docs.google.com/spreadsheets/d/1eHaY18a8A9IcSdp1K8H6x8fbOy06t2VsZHhMHf-1x7Y/edit?usp=sharing"",""แผน!HB15"")"),0)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IFERROR(__xludf.DUMMYFUNCTION("IMPORTRANGE(""https://docs.google.com/spreadsheets/d/1eHaY18a8A9IcSdp1K8H6x8fbOy06t2VsZHhMHf-1x7Y/edit?usp=sharing"",""แผน!HC15"")"),0)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IFERROR(__xludf.DUMMYFUNCTION("IMPORTRANGE(""https://docs.google.com/spreadsheets/d/1-uDff_7J0KD5mKrp0Vvzr7lt3OU09vwQwhkpOPPYv2Y/edit?usp=sharing"",""งบพรบ!FM15"")"),0)</f>
        <v>0</v>
      </c>
      <c r="M519" s="230">
        <f ca="1">IFERROR(__xludf.DUMMYFUNCTION("IMPORTRANGE(""https://docs.google.com/spreadsheets/d/1-uDff_7J0KD5mKrp0Vvzr7lt3OU09vwQwhkpOPPYv2Y/edit?usp=sharing"",""งบพรบ!FR15"")"),0)</f>
        <v>0</v>
      </c>
      <c r="N519" s="230">
        <f ca="1">IFERROR(__xludf.DUMMYFUNCTION("IMPORTRANGE(""https://docs.google.com/spreadsheets/d/1-uDff_7J0KD5mKrp0Vvzr7lt3OU09vwQwhkpOPPYv2Y/edit?usp=sharing"",""งบพรบ!FT15"")"),0)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IFERROR(__xludf.DUMMYFUNCTION("IMPORTRANGE(""https://docs.google.com/spreadsheets/d/1-uDff_7J0KD5mKrp0Vvzr7lt3OU09vwQwhkpOPPYv2Y/edit?usp=sharing"",""งบพรบ!FP15"")"),0)</f>
        <v>0</v>
      </c>
      <c r="M522" s="230">
        <f ca="1">IFERROR(__xludf.DUMMYFUNCTION("IMPORTRANGE(""https://docs.google.com/spreadsheets/d/1-uDff_7J0KD5mKrp0Vvzr7lt3OU09vwQwhkpOPPYv2Y/edit?usp=sharing"",""งบพรบ!FS15"")"),0)</f>
        <v>0</v>
      </c>
      <c r="N522" s="230">
        <f ca="1">IFERROR(__xludf.DUMMYFUNCTION("IMPORTRANGE(""https://docs.google.com/spreadsheets/d/1-uDff_7J0KD5mKrp0Vvzr7lt3OU09vwQwhkpOPPYv2Y/edit?usp=sharing"",""งบพรบ!FU15"")"),0)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200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21950</v>
      </c>
      <c r="R617" s="515">
        <f t="shared" ca="1" si="383"/>
        <v>21950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21950</v>
      </c>
      <c r="R619" s="230">
        <f t="shared" ca="1" si="387"/>
        <v>21950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21950</v>
      </c>
      <c r="R620" s="230">
        <f t="shared" ca="1" si="389"/>
        <v>21950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2" s="230">
        <f ca="1">IFERROR(__xludf.DUMMYFUNCTION("IMPORTRANGE(""https://docs.google.com/spreadsheets/d/1ItG2mGa2ceCfYo0BwxsXqNm01IGEUdYcSSLTEv9YCik/edit?usp=sharing"",""เบิกจ่ายกองทุน!G15"")"),21950)</f>
        <v>21950</v>
      </c>
      <c r="S622" s="230">
        <f ca="1">IFERROR(__xludf.DUMMYFUNCTION("IMPORTRANGE(""https://docs.google.com/spreadsheets/d/1ItG2mGa2ceCfYo0BwxsXqNm01IGEUdYcSSLTEv9YCik/edit?usp=sharing"",""เบิกจ่ายกองทุน!H15"")"),0)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IFERROR(__xludf.DUMMYFUNCTION("IMPORTRANGE(""https://docs.google.com/spreadsheets/d/1eHaY18a8A9IcSdp1K8H6x8fbOy06t2VsZHhMHf-1x7Y/edit?usp=sharing"",""แผน!ID15"")"),200)</f>
        <v>200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IFERROR(__xludf.DUMMYFUNCTION("IMPORTRANGE(""https://docs.google.com/spreadsheets/d/1eHaY18a8A9IcSdp1K8H6x8fbOy06t2VsZHhMHf-1x7Y/edit?usp=sharing"",""แผน!IC15"")"),0)</f>
        <v>0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IFERROR(__xludf.DUMMYFUNCTION("IMPORTRANGE(""https://docs.google.com/spreadsheets/d/1eHaY18a8A9IcSdp1K8H6x8fbOy06t2VsZHhMHf-1x7Y/edit?usp=sharing"",""แผน!IC15"")"),0)</f>
        <v>0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IFERROR(__xludf.DUMMYFUNCTION("IMPORTRANGE(""https://docs.google.com/spreadsheets/d/1eHaY18a8A9IcSdp1K8H6x8fbOy06t2VsZHhMHf-1x7Y/edit?usp=sharing"",""แผน!IE15"")"),0)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0</v>
      </c>
      <c r="R643" s="515">
        <f t="shared" ca="1" si="397"/>
        <v>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0</v>
      </c>
      <c r="R645" s="230">
        <f t="shared" ca="1" si="401"/>
        <v>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0</v>
      </c>
      <c r="R646" s="230">
        <f t="shared" ca="1" si="403"/>
        <v>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IFERROR(__xludf.DUMMYFUNCTION("IMPORTRANGE(""https://docs.google.com/spreadsheets/d/1ItG2mGa2ceCfYo0BwxsXqNm01IGEUdYcSSLTEv9YCik/edit?usp=sharing"",""เบิกจ่ายกองทุน!I15"")"),0)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IFERROR(__xludf.DUMMYFUNCTION("IMPORTRANGE(""https://docs.google.com/spreadsheets/d/1ItG2mGa2ceCfYo0BwxsXqNm01IGEUdYcSSLTEv9YCik/edit?usp=sharing"",""เบิกจ่ายกองทุน!J15"")"),0)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IFERROR(__xludf.DUMMYFUNCTION("IMPORTRANGE(""https://docs.google.com/spreadsheets/d/1ItG2mGa2ceCfYo0BwxsXqNm01IGEUdYcSSLTEv9YCik/edit?usp=sharing"",""เบิกจ่ายกองทุน!K15"")"),0)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IFERROR(__xludf.DUMMYFUNCTION("IMPORTRANGE(""https://docs.google.com/spreadsheets/d/1eHaY18a8A9IcSdp1K8H6x8fbOy06t2VsZHhMHf-1x7Y/edit?usp=sharing"",""แผน!IF15"")"),0)</f>
        <v>0</v>
      </c>
      <c r="J653" s="189">
        <f ca="1">IFERROR(__xludf.DUMMYFUNCTION("IMPORTRANGE(""https://docs.google.com/spreadsheets/d/1tdoBKaGub7dwA3U6UFTqxio9LNnvDCQjHKmttSEBsFQ/edit?usp=sharing"",""จัดที่ดิน!AU15"")"),0)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IFERROR(__xludf.DUMMYFUNCTION("IMPORTRANGE(""https://docs.google.com/spreadsheets/d/1eHaY18a8A9IcSdp1K8H6x8fbOy06t2VsZHhMHf-1x7Y/edit?usp=sharing"",""แผน!IG15"")"),0)</f>
        <v>0</v>
      </c>
      <c r="J654" s="189">
        <f ca="1">IFERROR(__xludf.DUMMYFUNCTION("IMPORTRANGE(""https://docs.google.com/spreadsheets/d/1tdoBKaGub7dwA3U6UFTqxio9LNnvDCQjHKmttSEBsFQ/edit?usp=sharing"",""จัดที่ดิน!AW15"")"),0)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IFERROR(__xludf.DUMMYFUNCTION("IMPORTRANGE(""https://docs.google.com/spreadsheets/d/1eHaY18a8A9IcSdp1K8H6x8fbOy06t2VsZHhMHf-1x7Y/edit?usp=sharing"",""แผน!IH15"")"),0)</f>
        <v>0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IFERROR(__xludf.DUMMYFUNCTION("IMPORTRANGE(""https://docs.google.com/spreadsheets/d/1eHaY18a8A9IcSdp1K8H6x8fbOy06t2VsZHhMHf-1x7Y/edit?usp=sharing"",""แผน!II15"")"),0)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IFERROR(__xludf.DUMMYFUNCTION("IMPORTRANGE(""https://docs.google.com/spreadsheets/d/1eHaY18a8A9IcSdp1K8H6x8fbOy06t2VsZHhMHf-1x7Y/edit?usp=sharing"",""แผน!IJ15"")"),0)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IFERROR(__xludf.DUMMYFUNCTION("IMPORTRANGE(""https://docs.google.com/spreadsheets/d/1eHaY18a8A9IcSdp1K8H6x8fbOy06t2VsZHhMHf-1x7Y/edit?usp=sharing"",""แผน!IK15"")"),0)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IFERROR(__xludf.DUMMYFUNCTION("IMPORTRANGE(""https://docs.google.com/spreadsheets/d/1tdoBKaGub7dwA3U6UFTqxio9LNnvDCQjHKmttSEBsFQ/edit?usp=sharing"",""จัดที่ดิน!AY15"")"),0)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IFERROR(__xludf.DUMMYFUNCTION("IMPORTRANGE(""https://docs.google.com/spreadsheets/d/1tdoBKaGub7dwA3U6UFTqxio9LNnvDCQjHKmttSEBsFQ/edit?usp=sharing"",""จัดที่ดิน!AZ15"")"),0)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IFERROR(__xludf.DUMMYFUNCTION("IMPORTRANGE(""https://docs.google.com/spreadsheets/d/1eHaY18a8A9IcSdp1K8H6x8fbOy06t2VsZHhMHf-1x7Y/edit?usp=sharing"",""แผน!IL15"")"),0)</f>
        <v>0</v>
      </c>
      <c r="J674" s="189">
        <f ca="1">IFERROR(__xludf.DUMMYFUNCTION("IMPORTRANGE(""https://docs.google.com/spreadsheets/d/1tdoBKaGub7dwA3U6UFTqxio9LNnvDCQjHKmttSEBsFQ/edit?usp=sharing"",""จัดที่ดิน!BA15"")"),0)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IFERROR(__xludf.DUMMYFUNCTION("IMPORTRANGE(""https://docs.google.com/spreadsheets/d/1eHaY18a8A9IcSdp1K8H6x8fbOy06t2VsZHhMHf-1x7Y/edit?usp=sharing"",""แผน!IM15"")"),0)</f>
        <v>0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IFERROR(__xludf.DUMMYFUNCTION("IMPORTRANGE(""https://docs.google.com/spreadsheets/d/1eHaY18a8A9IcSdp1K8H6x8fbOy06t2VsZHhMHf-1x7Y/edit?usp=sharing"",""แผน!IN15"")"),0)</f>
        <v>0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IFERROR(__xludf.DUMMYFUNCTION("IMPORTRANGE(""https://docs.google.com/spreadsheets/d/1eHaY18a8A9IcSdp1K8H6x8fbOy06t2VsZHhMHf-1x7Y/edit?usp=sharing"",""แผน!IO15"")"),0)</f>
        <v>0</v>
      </c>
      <c r="J677" s="189">
        <f ca="1">IFERROR(__xludf.DUMMYFUNCTION("IMPORTRANGE(""https://docs.google.com/spreadsheets/d/1tdoBKaGub7dwA3U6UFTqxio9LNnvDCQjHKmttSEBsFQ/edit?usp=sharing"",""จัดที่ดิน!BF15"")"),0)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IFERROR(__xludf.DUMMYFUNCTION("IMPORTRANGE(""https://docs.google.com/spreadsheets/d/1tdoBKaGub7dwA3U6UFTqxio9LNnvDCQjHKmttSEBsFQ/edit?usp=sharing"",""จัดที่ดิน!BG15"")"),0)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IFERROR(__xludf.DUMMYFUNCTION("IMPORTRANGE(""https://docs.google.com/spreadsheets/d/1eHaY18a8A9IcSdp1K8H6x8fbOy06t2VsZHhMHf-1x7Y/edit?usp=sharing"",""แผน!IP15"")"),0)</f>
        <v>0</v>
      </c>
      <c r="J679" s="189">
        <f ca="1">IFERROR(__xludf.DUMMYFUNCTION("IMPORTRANGE(""https://docs.google.com/spreadsheets/d/1tdoBKaGub7dwA3U6UFTqxio9LNnvDCQjHKmttSEBsFQ/edit?usp=sharing"",""จัดที่ดิน!BH15"")"),0)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IFERROR(__xludf.DUMMYFUNCTION("IMPORTRANGE(""https://docs.google.com/spreadsheets/d/1eHaY18a8A9IcSdp1K8H6x8fbOy06t2VsZHhMHf-1x7Y/edit?usp=sharing"",""แผน!IQ15"")"),0)</f>
        <v>0</v>
      </c>
      <c r="J680" s="189">
        <f ca="1">IFERROR(__xludf.DUMMYFUNCTION("IMPORTRANGE(""https://docs.google.com/spreadsheets/d/1tdoBKaGub7dwA3U6UFTqxio9LNnvDCQjHKmttSEBsFQ/edit?usp=sharing"",""จัดที่ดิน!BK15"")"),0)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IFERROR(__xludf.DUMMYFUNCTION("IMPORTRANGE(""https://docs.google.com/spreadsheets/d/1tdoBKaGub7dwA3U6UFTqxio9LNnvDCQjHKmttSEBsFQ/edit?usp=sharing"",""จัดที่ดิน!BL15"")"),0)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IFERROR(__xludf.DUMMYFUNCTION("IMPORTRANGE(""https://docs.google.com/spreadsheets/d/1eHaY18a8A9IcSdp1K8H6x8fbOy06t2VsZHhMHf-1x7Y/edit?usp=sharing"",""แผน!IR15"")"),0)</f>
        <v>0</v>
      </c>
      <c r="J682" s="189">
        <f ca="1">IFERROR(__xludf.DUMMYFUNCTION("IMPORTRANGE(""https://docs.google.com/spreadsheets/d/1tdoBKaGub7dwA3U6UFTqxio9LNnvDCQjHKmttSEBsFQ/edit?usp=sharing"",""จัดที่ดิน!BM15"")"),0)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IFERROR(__xludf.DUMMYFUNCTION("IMPORTRANGE(""https://docs.google.com/spreadsheets/d/1eHaY18a8A9IcSdp1K8H6x8fbOy06t2VsZHhMHf-1x7Y/edit?usp=sharing"",""แผน!IS15"")"),0)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100</v>
      </c>
      <c r="J690" s="700">
        <f t="shared" ca="1" si="410"/>
        <v>28</v>
      </c>
      <c r="K690" s="701">
        <f ca="1">IF(I690&gt;0,J690*100/I690,0)</f>
        <v>28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169140</v>
      </c>
      <c r="R691" s="515">
        <f t="shared" ca="1" si="414"/>
        <v>169140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169140</v>
      </c>
      <c r="R693" s="230">
        <f t="shared" ca="1" si="418"/>
        <v>169140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169140</v>
      </c>
      <c r="R694" s="230">
        <f t="shared" ca="1" si="420"/>
        <v>169140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6" s="230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6" s="230">
        <f ca="1">IFERROR(__xludf.DUMMYFUNCTION("IMPORTRANGE(""https://docs.google.com/spreadsheets/d/1ItG2mGa2ceCfYo0BwxsXqNm01IGEUdYcSSLTEv9YCik/edit?usp=sharing"",""เบิกจ่ายกองทุน!N15"")"),0)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IFERROR(__xludf.DUMMYFUNCTION("IMPORTRANGE(""https://docs.google.com/spreadsheets/d/1eHaY18a8A9IcSdp1K8H6x8fbOy06t2VsZHhMHf-1x7Y/edit?usp=sharing"",""แผน!LC15"")"),0)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100</v>
      </c>
      <c r="J702" s="340">
        <f t="shared" ca="1" si="424"/>
        <v>57</v>
      </c>
      <c r="K702" s="515">
        <f t="shared" ca="1" si="423"/>
        <v>57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38.799999999999997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IFERROR(__xludf.DUMMYFUNCTION("IMPORTRANGE(""https://docs.google.com/spreadsheets/d/1eHaY18a8A9IcSdp1K8H6x8fbOy06t2VsZHhMHf-1x7Y/edit?usp=sharing"",""แผน!LJ15"")"),100)</f>
        <v>100</v>
      </c>
      <c r="J704" s="189">
        <f ca="1">IFERROR(__xludf.DUMMYFUNCTION("IMPORTRANGE(""https://docs.google.com/spreadsheets/d/1tdoBKaGub7dwA3U6UFTqxio9LNnvDCQjHKmttSEBsFQ/edit?usp=sharing"",""จัดที่ดิน!AP15"")"),57)</f>
        <v>57</v>
      </c>
      <c r="K704" s="230">
        <f t="shared" ca="1" si="423"/>
        <v>57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IFERROR(__xludf.DUMMYFUNCTION("IMPORTRANGE(""https://docs.google.com/spreadsheets/d/1tdoBKaGub7dwA3U6UFTqxio9LNnvDCQjHKmttSEBsFQ/edit?usp=sharing"",""จัดที่ดิน!AQ15"")"),38.8)</f>
        <v>38.799999999999997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IFERROR(__xludf.DUMMYFUNCTION("IMPORTRANGE(""https://docs.google.com/spreadsheets/d/1eHaY18a8A9IcSdp1K8H6x8fbOy06t2VsZHhMHf-1x7Y/edit?usp=sharing"",""แผน!LK15"")"),0)</f>
        <v>0</v>
      </c>
      <c r="J706" s="189">
        <f ca="1">IFERROR(__xludf.DUMMYFUNCTION("IMPORTRANGE(""https://docs.google.com/spreadsheets/d/1tdoBKaGub7dwA3U6UFTqxio9LNnvDCQjHKmttSEBsFQ/edit?usp=sharing"",""จัดที่ดิน!AR15"")"),0)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IFERROR(__xludf.DUMMYFUNCTION("IMPORTRANGE(""https://docs.google.com/spreadsheets/d/1tdoBKaGub7dwA3U6UFTqxio9LNnvDCQjHKmttSEBsFQ/edit?usp=sharing"",""จัดที่ดิน!AS15"")"),0)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IFERROR(__xludf.DUMMYFUNCTION("IMPORTRANGE(""https://docs.google.com/spreadsheets/d/1eHaY18a8A9IcSdp1K8H6x8fbOy06t2VsZHhMHf-1x7Y/edit?usp=sharing"",""แผน!LJ15"")"),100)</f>
        <v>100</v>
      </c>
      <c r="J708" s="189">
        <f ca="1">IFERROR(__xludf.DUMMYFUNCTION("IMPORTRANGE(""https://docs.google.com/spreadsheets/d/1tdoBKaGub7dwA3U6UFTqxio9LNnvDCQjHKmttSEBsFQ/edit?usp=sharing"",""จัดที่ดิน!BN15"")"),28)</f>
        <v>28</v>
      </c>
      <c r="K708" s="230">
        <f t="shared" ca="1" si="423"/>
        <v>28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IFERROR(__xludf.DUMMYFUNCTION("IMPORTRANGE(""https://docs.google.com/spreadsheets/d/1tdoBKaGub7dwA3U6UFTqxio9LNnvDCQjHKmttSEBsFQ/edit?usp=sharing"",""จัดที่ดิน!BO15"")"),19)</f>
        <v>19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IFERROR(__xludf.DUMMYFUNCTION("IMPORTRANGE(""https://docs.google.com/spreadsheets/d/1eHaY18a8A9IcSdp1K8H6x8fbOy06t2VsZHhMHf-1x7Y/edit?usp=sharing"",""แผน!LK15"")"),0)</f>
        <v>0</v>
      </c>
      <c r="J710" s="189">
        <f ca="1">IFERROR(__xludf.DUMMYFUNCTION("IMPORTRANGE(""https://docs.google.com/spreadsheets/d/1tdoBKaGub7dwA3U6UFTqxio9LNnvDCQjHKmttSEBsFQ/edit?usp=sharing"",""จัดที่ดิน!BP15"")"),0)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IFERROR(__xludf.DUMMYFUNCTION("IMPORTRANGE(""https://docs.google.com/spreadsheets/d/1tdoBKaGub7dwA3U6UFTqxio9LNnvDCQjHKmttSEBsFQ/edit?usp=sharing"",""จัดที่ดิน!BQ15"")"),0)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IFERROR(__xludf.DUMMYFUNCTION("IMPORTRANGE(""https://docs.google.com/spreadsheets/d/1eHaY18a8A9IcSdp1K8H6x8fbOy06t2VsZHhMHf-1x7Y/edit?usp=sharing"",""แผน!GA15"")"),128)</f>
        <v>128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IFERROR(__xludf.DUMMYFUNCTION("IMPORTRANGE(""https://docs.google.com/spreadsheets/d/1eHaY18a8A9IcSdp1K8H6x8fbOy06t2VsZHhMHf-1x7Y/edit?usp=sharing"",""แผน!FZ15"")"),1250)</f>
        <v>1250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1008470</v>
      </c>
      <c r="R729" s="515">
        <f t="shared" ca="1" si="441"/>
        <v>1008470</v>
      </c>
      <c r="S729" s="515">
        <f t="shared" ca="1" si="441"/>
        <v>3660</v>
      </c>
      <c r="T729" s="515">
        <f t="shared" ref="T729:T737" ca="1" si="442">IF(Q729&gt;0,S729*100/Q729,0)</f>
        <v>0.36292601663906709</v>
      </c>
      <c r="U729" s="515">
        <f t="shared" ref="U729:U737" ca="1" si="443">IF(R729&gt;0,S729*100/R729,0)</f>
        <v>0.36292601663906709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1008470</v>
      </c>
      <c r="R731" s="230">
        <f t="shared" ca="1" si="445"/>
        <v>1008470</v>
      </c>
      <c r="S731" s="230">
        <f t="shared" ca="1" si="445"/>
        <v>3660</v>
      </c>
      <c r="T731" s="230">
        <f t="shared" ca="1" si="442"/>
        <v>0.36292601663906709</v>
      </c>
      <c r="U731" s="230">
        <f t="shared" ca="1" si="443"/>
        <v>0.36292601663906709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1008470</v>
      </c>
      <c r="R732" s="230">
        <f t="shared" ca="1" si="447"/>
        <v>1008470</v>
      </c>
      <c r="S732" s="230">
        <f t="shared" ca="1" si="447"/>
        <v>3660</v>
      </c>
      <c r="T732" s="230">
        <f t="shared" ca="1" si="442"/>
        <v>0.36292601663906709</v>
      </c>
      <c r="U732" s="230">
        <f t="shared" ca="1" si="443"/>
        <v>0.36292601663906709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IFERROR(__xludf.DUMMYFUNCTION("IMPORTRANGE(""https://docs.google.com/spreadsheets/d/1ItG2mGa2ceCfYo0BwxsXqNm01IGEUdYcSSLTEv9YCik/edit?usp=sharing"",""เบิกจ่ายกองทุน!Q15"")"),3660)</f>
        <v>3660</v>
      </c>
      <c r="T734" s="230">
        <f t="shared" ca="1" si="442"/>
        <v>0.36292601663906709</v>
      </c>
      <c r="U734" s="230">
        <f t="shared" ca="1" si="443"/>
        <v>0.36292601663906709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IFERROR(__xludf.DUMMYFUNCTION("IMPORTRANGE(""https://docs.google.com/spreadsheets/d/1eHaY18a8A9IcSdp1K8H6x8fbOy06t2VsZHhMHf-1x7Y/edit?usp=sharing"",""แผน!GB15"")"),1000)</f>
        <v>1000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IFERROR(__xludf.DUMMYFUNCTION("IMPORTRANGE(""https://docs.google.com/spreadsheets/d/1eHaY18a8A9IcSdp1K8H6x8fbOy06t2VsZHhMHf-1x7Y/edit?usp=sharing"",""แผน!GC15"")"),100)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IFERROR(__xludf.DUMMYFUNCTION("IMPORTRANGE(""https://docs.google.com/spreadsheets/d/1eHaY18a8A9IcSdp1K8H6x8fbOy06t2VsZHhMHf-1x7Y/edit?usp=sharing"",""แผน!GD15"")"),250)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IFERROR(__xludf.DUMMYFUNCTION("IMPORTRANGE(""https://docs.google.com/spreadsheets/d/1eHaY18a8A9IcSdp1K8H6x8fbOy06t2VsZHhMHf-1x7Y/edit?usp=sharing"",""แผน!GE15"")"),25)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IFERROR(__xludf.DUMMYFUNCTION("IMPORTRANGE(""https://docs.google.com/spreadsheets/d/1eHaY18a8A9IcSdp1K8H6x8fbOy06t2VsZHhMHf-1x7Y/edit?usp=sharing"",""แผน!GF15"")"),3)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IFERROR(__xludf.DUMMYFUNCTION("IMPORTRANGE(""https://docs.google.com/spreadsheets/d/1eHaY18a8A9IcSdp1K8H6x8fbOy06t2VsZHhMHf-1x7Y/edit?usp=sharing"",""แผน!GC15"")"),100)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IFERROR(__xludf.DUMMYFUNCTION("IMPORTRANGE(""https://docs.google.com/spreadsheets/d/1eHaY18a8A9IcSdp1K8H6x8fbOy06t2VsZHhMHf-1x7Y/edit?usp=sharing"",""แผน!GE15"")"),25)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150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300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806680</v>
      </c>
      <c r="R760" s="515">
        <f t="shared" ca="1" si="456"/>
        <v>806680</v>
      </c>
      <c r="S760" s="515">
        <f t="shared" ca="1" si="456"/>
        <v>1450</v>
      </c>
      <c r="T760" s="515">
        <f t="shared" ref="T760:T768" ca="1" si="457">IF(Q760&gt;0,S760*100/Q760,0)</f>
        <v>0.17974909505628006</v>
      </c>
      <c r="U760" s="515">
        <f t="shared" ref="U760:U768" ca="1" si="458">IF(R760&gt;0,S760*100/R760,0)</f>
        <v>0.17974909505628006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806680</v>
      </c>
      <c r="R762" s="230">
        <f t="shared" ca="1" si="460"/>
        <v>806680</v>
      </c>
      <c r="S762" s="230">
        <f t="shared" ca="1" si="460"/>
        <v>1450</v>
      </c>
      <c r="T762" s="230">
        <f t="shared" ca="1" si="457"/>
        <v>0.17974909505628006</v>
      </c>
      <c r="U762" s="230">
        <f t="shared" ca="1" si="458"/>
        <v>0.17974909505628006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806680</v>
      </c>
      <c r="R763" s="230">
        <f t="shared" ca="1" si="462"/>
        <v>806680</v>
      </c>
      <c r="S763" s="230">
        <f t="shared" ca="1" si="462"/>
        <v>1450</v>
      </c>
      <c r="T763" s="230">
        <f t="shared" ca="1" si="457"/>
        <v>0.17974909505628006</v>
      </c>
      <c r="U763" s="230">
        <f t="shared" ca="1" si="458"/>
        <v>0.17974909505628006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IFERROR(__xludf.DUMMYFUNCTION("IMPORTRANGE(""https://docs.google.com/spreadsheets/d/1ItG2mGa2ceCfYo0BwxsXqNm01IGEUdYcSSLTEv9YCik/edit?usp=sharing"",""เบิกจ่ายกองทุน!U15"")"),806680)</f>
        <v>806680</v>
      </c>
      <c r="R765" s="230">
        <f ca="1">IFERROR(__xludf.DUMMYFUNCTION("IMPORTRANGE(""https://docs.google.com/spreadsheets/d/1ItG2mGa2ceCfYo0BwxsXqNm01IGEUdYcSSLTEv9YCik/edit?usp=sharing"",""เบิกจ่ายกองทุน!V15"")"),806680)</f>
        <v>806680</v>
      </c>
      <c r="S765" s="230">
        <f ca="1">IFERROR(__xludf.DUMMYFUNCTION("IMPORTRANGE(""https://docs.google.com/spreadsheets/d/1ItG2mGa2ceCfYo0BwxsXqNm01IGEUdYcSSLTEv9YCik/edit?usp=sharing"",""เบิกจ่ายกองทุน!W15"")"),1450)</f>
        <v>1450</v>
      </c>
      <c r="T765" s="230">
        <f t="shared" ca="1" si="457"/>
        <v>0.17974909505628006</v>
      </c>
      <c r="U765" s="230">
        <f t="shared" ca="1" si="458"/>
        <v>0.17974909505628006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IFERROR(__xludf.DUMMYFUNCTION("IMPORTRANGE(""https://docs.google.com/spreadsheets/d/1eHaY18a8A9IcSdp1K8H6x8fbOy06t2VsZHhMHf-1x7Y/edit?usp=sharing"",""แผน!FI15"")"),0)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IFERROR(__xludf.DUMMYFUNCTION("IMPORTRANGE(""https://docs.google.com/spreadsheets/d/1eHaY18a8A9IcSdp1K8H6x8fbOy06t2VsZHhMHf-1x7Y/edit?usp=sharing"",""แผน!FQ15"")"),150)</f>
        <v>150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IFERROR(__xludf.DUMMYFUNCTION("IMPORTRANGE(""https://docs.google.com/spreadsheets/d/1eHaY18a8A9IcSdp1K8H6x8fbOy06t2VsZHhMHf-1x7Y/edit?usp=sharing"",""แผน!FR15"")"),300)</f>
        <v>300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IFERROR(__xludf.DUMMYFUNCTION("IMPORTRANGE(""https://docs.google.com/spreadsheets/d/1eHaY18a8A9IcSdp1K8H6x8fbOy06t2VsZHhMHf-1x7Y/edit?usp=sharing"",""แผน!FS15"")"),300)</f>
        <v>300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IFERROR(__xludf.DUMMYFUNCTION("IMPORTRANGE(""https://docs.google.com/spreadsheets/d/1eHaY18a8A9IcSdp1K8H6x8fbOy06t2VsZHhMHf-1x7Y/edit?usp=sharing"",""แผน!FT15"")"),150)</f>
        <v>150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IFERROR(__xludf.DUMMYFUNCTION("IMPORTRANGE(""https://docs.google.com/spreadsheets/d/10OvvATaaLtwErnr3qtWFcTmtbfpFEt5Bsqel9sXx0uE/edit?usp=sharing"",""งานกองทุน!D15"")"),7398675.45)</f>
        <v>7398675.4500000002</v>
      </c>
      <c r="J778" s="189">
        <f ca="1">IFERROR(__xludf.DUMMYFUNCTION("IMPORTRANGE(""https://docs.google.com/spreadsheets/d/10OvvATaaLtwErnr3qtWFcTmtbfpFEt5Bsqel9sXx0uE/edit?usp=sharing"",""งานกองทุน!F15"")"),500000)</f>
        <v>500000</v>
      </c>
      <c r="K778" s="230">
        <f t="shared" ref="K778:K785" ca="1" si="465">IF(I778&gt;0,J778*100/I778,0)</f>
        <v>6.7579663870781088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IFERROR(__xludf.DUMMYFUNCTION("IMPORTRANGE(""https://docs.google.com/spreadsheets/d/10OvvATaaLtwErnr3qtWFcTmtbfpFEt5Bsqel9sXx0uE/edit?usp=sharing"",""งานกองทุน!C15"")"),237)</f>
        <v>237</v>
      </c>
      <c r="J779" s="189">
        <f ca="1">IFERROR(__xludf.DUMMYFUNCTION("IMPORTRANGE(""https://docs.google.com/spreadsheets/d/10OvvATaaLtwErnr3qtWFcTmtbfpFEt5Bsqel9sXx0uE/edit?usp=sharing"",""งานกองทุน!E15"")"),21)</f>
        <v>21</v>
      </c>
      <c r="K779" s="230">
        <f t="shared" ca="1" si="465"/>
        <v>8.8607594936708853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89">
        <f ca="1">IFERROR(__xludf.DUMMYFUNCTION("IMPORTRANGE(""https://docs.google.com/spreadsheets/d/10OvvATaaLtwErnr3qtWFcTmtbfpFEt5Bsqel9sXx0uE/edit?usp=sharing"",""งานกองทุน!K15"")"),185523.87)</f>
        <v>185523.87</v>
      </c>
      <c r="K780" s="230">
        <f t="shared" ca="1" si="465"/>
        <v>4.2408312526998539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IFERROR(__xludf.DUMMYFUNCTION("IMPORTRANGE(""https://docs.google.com/spreadsheets/d/10OvvATaaLtwErnr3qtWFcTmtbfpFEt5Bsqel9sXx0uE/edit?usp=sharing"",""งานกองทุน!H15"")"),145)</f>
        <v>145</v>
      </c>
      <c r="J781" s="189">
        <f ca="1">IFERROR(__xludf.DUMMYFUNCTION("IMPORTRANGE(""https://docs.google.com/spreadsheets/d/10OvvATaaLtwErnr3qtWFcTmtbfpFEt5Bsqel9sXx0uE/edit?usp=sharing"",""งานกองทุน!J15"")"),32)</f>
        <v>32</v>
      </c>
      <c r="K781" s="230">
        <f t="shared" ca="1" si="465"/>
        <v>22.068965517241381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IFERROR(__xludf.DUMMYFUNCTION("IMPORTRANGE(""https://docs.google.com/spreadsheets/d/10OvvATaaLtwErnr3qtWFcTmtbfpFEt5Bsqel9sXx0uE/edit?usp=sharing"",""งานกองทุน!N15"")"),765685.64)</f>
        <v>765685.64</v>
      </c>
      <c r="J782" s="189">
        <f ca="1">IFERROR(__xludf.DUMMYFUNCTION("IMPORTRANGE(""https://docs.google.com/spreadsheets/d/10OvvATaaLtwErnr3qtWFcTmtbfpFEt5Bsqel9sXx0uE/edit?usp=sharing"",""งานกองทุน!P15"")"),145857.4)</f>
        <v>145857.4</v>
      </c>
      <c r="K782" s="230">
        <f t="shared" ca="1" si="465"/>
        <v>19.049253685886026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IFERROR(__xludf.DUMMYFUNCTION("IMPORTRANGE(""https://docs.google.com/spreadsheets/d/10OvvATaaLtwErnr3qtWFcTmtbfpFEt5Bsqel9sXx0uE/edit?usp=sharing"",""งานกองทุน!M15"")"),41)</f>
        <v>41</v>
      </c>
      <c r="J783" s="189">
        <f ca="1">IFERROR(__xludf.DUMMYFUNCTION("IMPORTRANGE(""https://docs.google.com/spreadsheets/d/10OvvATaaLtwErnr3qtWFcTmtbfpFEt5Bsqel9sXx0uE/edit?usp=sharing"",""งานกองทุน!O15"")"),73)</f>
        <v>73</v>
      </c>
      <c r="K783" s="230">
        <f t="shared" ca="1" si="465"/>
        <v>178.04878048780489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IFERROR(__xludf.DUMMYFUNCTION("IMPORTRANGE(""https://docs.google.com/spreadsheets/d/10OvvATaaLtwErnr3qtWFcTmtbfpFEt5Bsqel9sXx0uE/edit?usp=sharing"",""งานกองทุน!S15"")"),9072000)</f>
        <v>9072000</v>
      </c>
      <c r="J784" s="189">
        <f ca="1">IFERROR(__xludf.DUMMYFUNCTION("IMPORTRANGE(""https://docs.google.com/spreadsheets/d/10OvvATaaLtwErnr3qtWFcTmtbfpFEt5Bsqel9sXx0uE/edit?usp=sharing"",""งานกองทุน!U15"")"),1055000)</f>
        <v>1055000</v>
      </c>
      <c r="K784" s="230">
        <f t="shared" ca="1" si="465"/>
        <v>11.629188712522046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IFERROR(__xludf.DUMMYFUNCTION("IMPORTRANGE(""https://docs.google.com/spreadsheets/d/10OvvATaaLtwErnr3qtWFcTmtbfpFEt5Bsqel9sXx0uE/edit?usp=sharing"",""งานกองทุน!R15"")"),324)</f>
        <v>324</v>
      </c>
      <c r="J785" s="194">
        <f ca="1">IFERROR(__xludf.DUMMYFUNCTION("IMPORTRANGE(""https://docs.google.com/spreadsheets/d/10OvvATaaLtwErnr3qtWFcTmtbfpFEt5Bsqel9sXx0uE/edit?usp=sharing"",""งานกองทุน!T15"")"),35)</f>
        <v>35</v>
      </c>
      <c r="K785" s="461">
        <f t="shared" ca="1" si="465"/>
        <v>10.802469135802468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F31B2-9DDF-4914-8C63-548A4C84D2FB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312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2479995</v>
      </c>
      <c r="M19" s="474">
        <f t="shared" ca="1" si="0"/>
        <v>2706573</v>
      </c>
      <c r="N19" s="474">
        <f t="shared" ca="1" si="0"/>
        <v>1642609.69</v>
      </c>
      <c r="O19" s="474">
        <f t="shared" ref="O19:O27" ca="1" si="1">IF(L19&gt;0,N19*100/L19,0)</f>
        <v>66.234395230635542</v>
      </c>
      <c r="P19" s="474">
        <f t="shared" ref="P19:P27" ca="1" si="2">IF(M19&gt;0,N19*100/M19,0)</f>
        <v>60.689650343811159</v>
      </c>
      <c r="Q19" s="474">
        <f t="shared" ref="Q19:S19" ca="1" si="3">Q20+Q21</f>
        <v>2549294.2400000002</v>
      </c>
      <c r="R19" s="474">
        <f t="shared" ca="1" si="3"/>
        <v>2424294</v>
      </c>
      <c r="S19" s="474">
        <f t="shared" ca="1" si="3"/>
        <v>132006</v>
      </c>
      <c r="T19" s="474">
        <f t="shared" ref="T19:T27" ca="1" si="4">IF(Q19&gt;0,S19*100/Q19,0)</f>
        <v>5.1781390287846882</v>
      </c>
      <c r="U19" s="474">
        <f t="shared" ref="U19:U27" ca="1" si="5">IF(R19&gt;0,S19*100/R19,0)</f>
        <v>5.4451316548240438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2479995</v>
      </c>
      <c r="M21" s="480">
        <f t="shared" ca="1" si="6"/>
        <v>2706573</v>
      </c>
      <c r="N21" s="480">
        <f t="shared" ca="1" si="6"/>
        <v>1642609.69</v>
      </c>
      <c r="O21" s="480">
        <f t="shared" ca="1" si="1"/>
        <v>66.234395230635542</v>
      </c>
      <c r="P21" s="480">
        <f t="shared" ca="1" si="2"/>
        <v>60.689650343811159</v>
      </c>
      <c r="Q21" s="480">
        <f t="shared" ca="1" si="7"/>
        <v>2549294.2400000002</v>
      </c>
      <c r="R21" s="480">
        <f t="shared" ca="1" si="7"/>
        <v>2424294</v>
      </c>
      <c r="S21" s="480">
        <f t="shared" ca="1" si="7"/>
        <v>132006</v>
      </c>
      <c r="T21" s="480">
        <f t="shared" ca="1" si="4"/>
        <v>5.1781390287846882</v>
      </c>
      <c r="U21" s="480">
        <f t="shared" ca="1" si="5"/>
        <v>5.4451316548240438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2479995</v>
      </c>
      <c r="M22" s="230">
        <f t="shared" ca="1" si="8"/>
        <v>2706573</v>
      </c>
      <c r="N22" s="230">
        <f t="shared" ca="1" si="8"/>
        <v>1642609.69</v>
      </c>
      <c r="O22" s="230">
        <f t="shared" ca="1" si="1"/>
        <v>66.234395230635542</v>
      </c>
      <c r="P22" s="230">
        <f t="shared" ca="1" si="2"/>
        <v>60.689650343811159</v>
      </c>
      <c r="Q22" s="230">
        <f t="shared" ref="Q22:S22" ca="1" si="9">Q23+Q24</f>
        <v>2549294.2400000002</v>
      </c>
      <c r="R22" s="230">
        <f t="shared" ca="1" si="9"/>
        <v>2424294</v>
      </c>
      <c r="S22" s="230">
        <f t="shared" ca="1" si="9"/>
        <v>132006</v>
      </c>
      <c r="T22" s="230">
        <f t="shared" ca="1" si="4"/>
        <v>5.1781390287846882</v>
      </c>
      <c r="U22" s="230">
        <f t="shared" ca="1" si="5"/>
        <v>5.4451316548240438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2479995</v>
      </c>
      <c r="M24" s="230">
        <f t="shared" ca="1" si="10"/>
        <v>2706573</v>
      </c>
      <c r="N24" s="230">
        <f t="shared" ca="1" si="10"/>
        <v>1642609.69</v>
      </c>
      <c r="O24" s="230">
        <f t="shared" ca="1" si="1"/>
        <v>66.234395230635542</v>
      </c>
      <c r="P24" s="230">
        <f t="shared" ca="1" si="2"/>
        <v>60.689650343811159</v>
      </c>
      <c r="Q24" s="230">
        <f t="shared" ca="1" si="11"/>
        <v>2549294.2400000002</v>
      </c>
      <c r="R24" s="230">
        <f t="shared" ca="1" si="11"/>
        <v>2424294</v>
      </c>
      <c r="S24" s="230">
        <f t="shared" ca="1" si="11"/>
        <v>132006</v>
      </c>
      <c r="T24" s="230">
        <f t="shared" ca="1" si="4"/>
        <v>5.1781390287846882</v>
      </c>
      <c r="U24" s="230">
        <f t="shared" ca="1" si="5"/>
        <v>5.4451316548240438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2479995</v>
      </c>
      <c r="M41" s="487">
        <f t="shared" ca="1" si="16"/>
        <v>2706573</v>
      </c>
      <c r="N41" s="487">
        <f t="shared" ca="1" si="16"/>
        <v>1642609.69</v>
      </c>
      <c r="O41" s="487">
        <f ca="1">IF(L41&gt;0,N41*100/L41,0)</f>
        <v>66.234395230635542</v>
      </c>
      <c r="P41" s="487">
        <f ca="1">IF(M41&gt;0,N41*100/M41,0)</f>
        <v>60.689650343811159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567650</v>
      </c>
      <c r="M45" s="491">
        <f t="shared" ca="1" si="17"/>
        <v>570138</v>
      </c>
      <c r="N45" s="491">
        <f t="shared" ca="1" si="17"/>
        <v>339794.86</v>
      </c>
      <c r="O45" s="491">
        <f t="shared" ref="O45:O53" ca="1" si="18">IF(L45&gt;0,N45*100/L45,0)</f>
        <v>59.859924249097155</v>
      </c>
      <c r="P45" s="491">
        <f t="shared" ref="P45:P53" ca="1" si="19">IF(M45&gt;0,N45*100/M45,0)</f>
        <v>59.598704173375566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567650</v>
      </c>
      <c r="M47" s="497">
        <f t="shared" ca="1" si="23"/>
        <v>570138</v>
      </c>
      <c r="N47" s="497">
        <f t="shared" ca="1" si="23"/>
        <v>339794.86</v>
      </c>
      <c r="O47" s="497">
        <f t="shared" ca="1" si="18"/>
        <v>59.859924249097155</v>
      </c>
      <c r="P47" s="497">
        <f t="shared" ca="1" si="19"/>
        <v>59.598704173375566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567650</v>
      </c>
      <c r="M48" s="230">
        <f t="shared" ca="1" si="25"/>
        <v>570138</v>
      </c>
      <c r="N48" s="230">
        <f t="shared" ca="1" si="25"/>
        <v>339794.86</v>
      </c>
      <c r="O48" s="230">
        <f t="shared" ca="1" si="18"/>
        <v>59.859924249097155</v>
      </c>
      <c r="P48" s="230">
        <f t="shared" ca="1" si="19"/>
        <v>59.598704173375566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IFERROR(__xludf.DUMMYFUNCTION("IMPORTRANGE(""https://docs.google.com/spreadsheets/d/1-uDff_7J0KD5mKrp0Vvzr7lt3OU09vwQwhkpOPPYv2Y/edit?usp=sharing"",""งบพรบ!P16"")"),567650)</f>
        <v>567650</v>
      </c>
      <c r="M50" s="230">
        <f ca="1">IFERROR(__xludf.DUMMYFUNCTION("IMPORTRANGE(""https://docs.google.com/spreadsheets/d/1-uDff_7J0KD5mKrp0Vvzr7lt3OU09vwQwhkpOPPYv2Y/edit?usp=sharing"",""งบพรบ!V16"")"),570138)</f>
        <v>570138</v>
      </c>
      <c r="N50" s="230">
        <f ca="1">IFERROR(__xludf.DUMMYFUNCTION("IMPORTRANGE(""https://docs.google.com/spreadsheets/d/1-uDff_7J0KD5mKrp0Vvzr7lt3OU09vwQwhkpOPPYv2Y/edit?usp=sharing"",""งบพรบ!Y16"")"),339794.86)</f>
        <v>339794.86</v>
      </c>
      <c r="O50" s="230">
        <f t="shared" ca="1" si="18"/>
        <v>59.859924249097155</v>
      </c>
      <c r="P50" s="230">
        <f t="shared" ca="1" si="19"/>
        <v>59.598704173375566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IFERROR(__xludf.DUMMYFUNCTION("IMPORTRANGE(""https://docs.google.com/spreadsheets/d/1-uDff_7J0KD5mKrp0Vvzr7lt3OU09vwQwhkpOPPYv2Y/edit?usp=sharing"",""งบพรบ!S16"")"),0)</f>
        <v>0</v>
      </c>
      <c r="M53" s="230">
        <f ca="1">IFERROR(__xludf.DUMMYFUNCTION("IMPORTRANGE(""https://docs.google.com/spreadsheets/d/1-uDff_7J0KD5mKrp0Vvzr7lt3OU09vwQwhkpOPPYv2Y/edit?usp=sharing"",""งบพรบ!W16"")"),0)</f>
        <v>0</v>
      </c>
      <c r="N53" s="230">
        <f ca="1">IFERROR(__xludf.DUMMYFUNCTION("IMPORTRANGE(""https://docs.google.com/spreadsheets/d/1-uDff_7J0KD5mKrp0Vvzr7lt3OU09vwQwhkpOPPYv2Y/edit?usp=sharing"",""งบพรบ!Z16"")"),0)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483100</v>
      </c>
      <c r="M60" s="502">
        <f t="shared" ca="1" si="29"/>
        <v>542640</v>
      </c>
      <c r="N60" s="502">
        <f t="shared" ca="1" si="29"/>
        <v>387031.9</v>
      </c>
      <c r="O60" s="502">
        <f t="shared" ref="O60:O68" ca="1" si="30">IF(L60&gt;0,N60*100/L60,0)</f>
        <v>80.114241357896915</v>
      </c>
      <c r="P60" s="502">
        <f t="shared" ref="P60:P68" ca="1" si="31">IF(M60&gt;0,N60*100/M60,0)</f>
        <v>71.323879551820724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483100</v>
      </c>
      <c r="M62" s="508">
        <f t="shared" ca="1" si="35"/>
        <v>542640</v>
      </c>
      <c r="N62" s="508">
        <f t="shared" ca="1" si="35"/>
        <v>387031.9</v>
      </c>
      <c r="O62" s="508">
        <f t="shared" ca="1" si="30"/>
        <v>80.114241357896915</v>
      </c>
      <c r="P62" s="508">
        <f t="shared" ca="1" si="31"/>
        <v>71.323879551820724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483100</v>
      </c>
      <c r="M63" s="230">
        <f t="shared" ca="1" si="37"/>
        <v>542640</v>
      </c>
      <c r="N63" s="230">
        <f t="shared" ca="1" si="37"/>
        <v>387031.9</v>
      </c>
      <c r="O63" s="230">
        <f t="shared" ca="1" si="30"/>
        <v>80.114241357896915</v>
      </c>
      <c r="P63" s="230">
        <f t="shared" ca="1" si="31"/>
        <v>71.323879551820724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IFERROR(__xludf.DUMMYFUNCTION("IMPORTRANGE(""https://docs.google.com/spreadsheets/d/1-uDff_7J0KD5mKrp0Vvzr7lt3OU09vwQwhkpOPPYv2Y/edit?usp=sharing"",""งบพรบ!AC16"")"),483100)</f>
        <v>483100</v>
      </c>
      <c r="M65" s="230">
        <f ca="1">IFERROR(__xludf.DUMMYFUNCTION("IMPORTRANGE(""https://docs.google.com/spreadsheets/d/1-uDff_7J0KD5mKrp0Vvzr7lt3OU09vwQwhkpOPPYv2Y/edit?usp=sharing"",""งบพรบ!AH16"")"),542640)</f>
        <v>542640</v>
      </c>
      <c r="N65" s="230">
        <f ca="1">IFERROR(__xludf.DUMMYFUNCTION("IMPORTRANGE(""https://docs.google.com/spreadsheets/d/1-uDff_7J0KD5mKrp0Vvzr7lt3OU09vwQwhkpOPPYv2Y/edit?usp=sharing"",""งบพรบ!AJ16"")"),387031.9)</f>
        <v>387031.9</v>
      </c>
      <c r="O65" s="230">
        <f t="shared" ca="1" si="30"/>
        <v>80.114241357896915</v>
      </c>
      <c r="P65" s="230">
        <f t="shared" ca="1" si="31"/>
        <v>71.323879551820724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IFERROR(__xludf.DUMMYFUNCTION("IMPORTRANGE(""https://docs.google.com/spreadsheets/d/1-uDff_7J0KD5mKrp0Vvzr7lt3OU09vwQwhkpOPPYv2Y/edit?usp=sharing"",""งบพรบ!AF16"")"),0)</f>
        <v>0</v>
      </c>
      <c r="M68" s="461">
        <f ca="1">IFERROR(__xludf.DUMMYFUNCTION("IMPORTRANGE(""https://docs.google.com/spreadsheets/d/1-uDff_7J0KD5mKrp0Vvzr7lt3OU09vwQwhkpOPPYv2Y/edit?usp=sharing"",""งบพรบ!AI16"")"),0)</f>
        <v>0</v>
      </c>
      <c r="N68" s="461">
        <f ca="1">IFERROR(__xludf.DUMMYFUNCTION("IMPORTRANGE(""https://docs.google.com/spreadsheets/d/1-uDff_7J0KD5mKrp0Vvzr7lt3OU09vwQwhkpOPPYv2Y/edit?usp=sharing"",""งบพรบ!AK16"")"),0)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80000</v>
      </c>
      <c r="N73" s="515">
        <f t="shared" ca="1" si="43"/>
        <v>69803.95</v>
      </c>
      <c r="O73" s="515">
        <f t="shared" ref="O73:O81" ca="1" si="44">IF(L73&gt;0,N73*100/L73,0)</f>
        <v>0</v>
      </c>
      <c r="P73" s="515">
        <f t="shared" ref="P73:P81" ca="1" si="45">IF(M73&gt;0,N73*100/M73,0)</f>
        <v>87.254937499999997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80000</v>
      </c>
      <c r="N75" s="230">
        <f t="shared" ca="1" si="49"/>
        <v>69803.95</v>
      </c>
      <c r="O75" s="230">
        <f t="shared" ca="1" si="44"/>
        <v>0</v>
      </c>
      <c r="P75" s="230">
        <f t="shared" ca="1" si="45"/>
        <v>87.254937499999997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80000</v>
      </c>
      <c r="N76" s="230">
        <f t="shared" ca="1" si="51"/>
        <v>69803.95</v>
      </c>
      <c r="O76" s="230">
        <f t="shared" ca="1" si="44"/>
        <v>0</v>
      </c>
      <c r="P76" s="230">
        <f t="shared" ca="1" si="45"/>
        <v>87.254937499999997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IFERROR(__xludf.DUMMYFUNCTION("IMPORTRANGE(""https://docs.google.com/spreadsheets/d/1-uDff_7J0KD5mKrp0Vvzr7lt3OU09vwQwhkpOPPYv2Y/edit?usp=sharing"",""งบพรบ!AM16"")"),0)</f>
        <v>0</v>
      </c>
      <c r="M78" s="230">
        <f ca="1">IFERROR(__xludf.DUMMYFUNCTION("IMPORTRANGE(""https://docs.google.com/spreadsheets/d/1-uDff_7J0KD5mKrp0Vvzr7lt3OU09vwQwhkpOPPYv2Y/edit?usp=sharing"",""งบพรบ!AR16"")"),80000)</f>
        <v>80000</v>
      </c>
      <c r="N78" s="230">
        <f ca="1">IFERROR(__xludf.DUMMYFUNCTION("IMPORTRANGE(""https://docs.google.com/spreadsheets/d/1-uDff_7J0KD5mKrp0Vvzr7lt3OU09vwQwhkpOPPYv2Y/edit?usp=sharing"",""งบพรบ!AT16"")"),69803.95)</f>
        <v>69803.95</v>
      </c>
      <c r="O78" s="230">
        <f t="shared" ca="1" si="44"/>
        <v>0</v>
      </c>
      <c r="P78" s="230">
        <f t="shared" ca="1" si="45"/>
        <v>87.254937499999997</v>
      </c>
      <c r="Q78" s="230">
        <f ca="1">IFERROR(__xludf.DUMMYFUNCTION("IMPORTRANGE(""https://docs.google.com/spreadsheets/d/1ItG2mGa2ceCfYo0BwxsXqNm01IGEUdYcSSLTEv9YCik/edit?usp=sharing"",""เบิกจ่ายกองทุน!AS16"")"),0)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IFERROR(__xludf.DUMMYFUNCTION("IMPORTRANGE(""https://docs.google.com/spreadsheets/d/1ItG2mGa2ceCfYo0BwxsXqNm01IGEUdYcSSLTEv9YCik/edit?usp=sharing"",""เบิกจ่ายกองทุน!AT16"")"),0)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IFERROR(__xludf.DUMMYFUNCTION("IMPORTRANGE(""https://docs.google.com/spreadsheets/d/1ItG2mGa2ceCfYo0BwxsXqNm01IGEUdYcSSLTEv9YCik/edit?usp=sharing"",""เบิกจ่ายกองทุน!AU16"")"),0)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IFERROR(__xludf.DUMMYFUNCTION("IMPORTRANGE(""https://docs.google.com/spreadsheets/d/1-uDff_7J0KD5mKrp0Vvzr7lt3OU09vwQwhkpOPPYv2Y/edit?usp=sharing"",""งบพรบ!AP16"")"),0)</f>
        <v>0</v>
      </c>
      <c r="M81" s="230">
        <f ca="1">IFERROR(__xludf.DUMMYFUNCTION("IMPORTRANGE(""https://docs.google.com/spreadsheets/d/1-uDff_7J0KD5mKrp0Vvzr7lt3OU09vwQwhkpOPPYv2Y/edit?usp=sharing"",""งบพรบ!AS16"")"),0)</f>
        <v>0</v>
      </c>
      <c r="N81" s="230">
        <f ca="1">IFERROR(__xludf.DUMMYFUNCTION("IMPORTRANGE(""https://docs.google.com/spreadsheets/d/1-uDff_7J0KD5mKrp0Vvzr7lt3OU09vwQwhkpOPPYv2Y/edit?usp=sharing"",""งบพรบ!AU16"")"),0)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IFERROR(__xludf.DUMMYFUNCTION("IMPORTRANGE(""https://docs.google.com/spreadsheets/d/1eHaY18a8A9IcSdp1K8H6x8fbOy06t2VsZHhMHf-1x7Y/edit?usp=sharing"",""แผน!H16"")"),0)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IFERROR(__xludf.DUMMYFUNCTION("IMPORTRANGE(""https://docs.google.com/spreadsheets/d/1eHaY18a8A9IcSdp1K8H6x8fbOy06t2VsZHhMHf-1x7Y/edit?usp=sharing"",""แผน!I16"")"),0)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IFERROR(__xludf.DUMMYFUNCTION("IMPORTRANGE(""https://docs.google.com/spreadsheets/d/1eHaY18a8A9IcSdp1K8H6x8fbOy06t2VsZHhMHf-1x7Y/edit?usp=sharing"",""แผน!F16"")"),0)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IFERROR(__xludf.DUMMYFUNCTION("IMPORTRANGE(""https://docs.google.com/spreadsheets/d/1eHaY18a8A9IcSdp1K8H6x8fbOy06t2VsZHhMHf-1x7Y/edit?usp=sharing"",""แผน!G16"")"),0)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IFERROR(__xludf.DUMMYFUNCTION("IMPORTRANGE(""https://docs.google.com/spreadsheets/d/1eHaY18a8A9IcSdp1K8H6x8fbOy06t2VsZHhMHf-1x7Y/edit?usp=sharing"",""แผน!D16"")"),0)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IFERROR(__xludf.DUMMYFUNCTION("IMPORTRANGE(""https://docs.google.com/spreadsheets/d/1eHaY18a8A9IcSdp1K8H6x8fbOy06t2VsZHhMHf-1x7Y/edit?usp=sharing"",""แผน!E16"")"),0)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IFERROR(__xludf.DUMMYFUNCTION("IMPORTRANGE(""https://docs.google.com/spreadsheets/d/1eHaY18a8A9IcSdp1K8H6x8fbOy06t2VsZHhMHf-1x7Y/edit?usp=sharing"",""แผน!J16"")"),0)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30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10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19500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64920</v>
      </c>
      <c r="R95" s="515">
        <f t="shared" ca="1" si="62"/>
        <v>64920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19500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64920</v>
      </c>
      <c r="R97" s="230">
        <f t="shared" ca="1" si="66"/>
        <v>64920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19500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64920</v>
      </c>
      <c r="R98" s="230">
        <f t="shared" ca="1" si="68"/>
        <v>64920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IFERROR(__xludf.DUMMYFUNCTION("IMPORTRANGE(""https://docs.google.com/spreadsheets/d/1-uDff_7J0KD5mKrp0Vvzr7lt3OU09vwQwhkpOPPYv2Y/edit?usp=sharing"",""งบพรบ!AW16"")"),0)</f>
        <v>0</v>
      </c>
      <c r="M100" s="230">
        <f ca="1">IFERROR(__xludf.DUMMYFUNCTION("IMPORTRANGE(""https://docs.google.com/spreadsheets/d/1-uDff_7J0KD5mKrp0Vvzr7lt3OU09vwQwhkpOPPYv2Y/edit?usp=sharing"",""งบพรบ!BB16"")"),19500)</f>
        <v>19500</v>
      </c>
      <c r="N100" s="230">
        <f ca="1">IFERROR(__xludf.DUMMYFUNCTION("IMPORTRANGE(""https://docs.google.com/spreadsheets/d/1-uDff_7J0KD5mKrp0Vvzr7lt3OU09vwQwhkpOPPYv2Y/edit?usp=sharing"",""งบพรบ!BD16"")"),0)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IFERROR(__xludf.DUMMYFUNCTION("IMPORTRANGE(""https://docs.google.com/spreadsheets/d/1ItG2mGa2ceCfYo0BwxsXqNm01IGEUdYcSSLTEv9YCik/edit?usp=sharing"",""เบิกจ่ายกองทุน!AD16"")"),64920)</f>
        <v>64920</v>
      </c>
      <c r="R100" s="230">
        <f ca="1">IFERROR(__xludf.DUMMYFUNCTION("IMPORTRANGE(""https://docs.google.com/spreadsheets/d/1ItG2mGa2ceCfYo0BwxsXqNm01IGEUdYcSSLTEv9YCik/edit?usp=sharing"",""เบิกจ่ายกองทุน!AE16"")"),64920)</f>
        <v>64920</v>
      </c>
      <c r="S100" s="230">
        <f ca="1">IFERROR(__xludf.DUMMYFUNCTION("IMPORTRANGE(""https://docs.google.com/spreadsheets/d/1ItG2mGa2ceCfYo0BwxsXqNm01IGEUdYcSSLTEv9YCik/edit?usp=sharing"",""เบิกจ่ายกองทุน!AF16"")"),0)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IFERROR(__xludf.DUMMYFUNCTION("IMPORTRANGE(""https://docs.google.com/spreadsheets/d/1-uDff_7J0KD5mKrp0Vvzr7lt3OU09vwQwhkpOPPYv2Y/edit?usp=sharing"",""งบพรบ!AZ16"")"),0)</f>
        <v>0</v>
      </c>
      <c r="M103" s="230">
        <f ca="1">IFERROR(__xludf.DUMMYFUNCTION("IMPORTRANGE(""https://docs.google.com/spreadsheets/d/1-uDff_7J0KD5mKrp0Vvzr7lt3OU09vwQwhkpOPPYv2Y/edit?usp=sharing"",""งบพรบ!BC16"")"),0)</f>
        <v>0</v>
      </c>
      <c r="N103" s="230">
        <f ca="1">IFERROR(__xludf.DUMMYFUNCTION("IMPORTRANGE(""https://docs.google.com/spreadsheets/d/1-uDff_7J0KD5mKrp0Vvzr7lt3OU09vwQwhkpOPPYv2Y/edit?usp=sharing"",""งบพรบ!BE16"")"),0)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IFERROR(__xludf.DUMMYFUNCTION("IMPORTRANGE(""https://docs.google.com/spreadsheets/d/1eHaY18a8A9IcSdp1K8H6x8fbOy06t2VsZHhMHf-1x7Y/edit?usp=sharing"",""แผน!N16"")"),30)</f>
        <v>30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IFERROR(__xludf.DUMMYFUNCTION("IMPORTRANGE(""https://docs.google.com/spreadsheets/d/1eHaY18a8A9IcSdp1K8H6x8fbOy06t2VsZHhMHf-1x7Y/edit?usp=sharing"",""แผน!O16"")"),10)</f>
        <v>10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IFERROR(__xludf.DUMMYFUNCTION("IMPORTRANGE(""https://docs.google.com/spreadsheets/d/1eHaY18a8A9IcSdp1K8H6x8fbOy06t2VsZHhMHf-1x7Y/edit?usp=sharing"",""แผน!S16"")"),0)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IFERROR(__xludf.DUMMYFUNCTION("IMPORTRANGE(""https://docs.google.com/spreadsheets/d/1eHaY18a8A9IcSdp1K8H6x8fbOy06t2VsZHhMHf-1x7Y/edit?usp=sharing"",""แผน!R16"")"),10)</f>
        <v>10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20</v>
      </c>
      <c r="J117" s="511">
        <f t="shared" si="73"/>
        <v>20</v>
      </c>
      <c r="K117" s="474">
        <f ca="1">IF(I117&gt;0,J117*100/I117,0)</f>
        <v>100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209360</v>
      </c>
      <c r="R118" s="515">
        <f t="shared" ca="1" si="77"/>
        <v>209360</v>
      </c>
      <c r="S118" s="515">
        <f t="shared" ca="1" si="77"/>
        <v>59061</v>
      </c>
      <c r="T118" s="515">
        <f t="shared" ref="T118:T126" ca="1" si="78">IF(Q118&gt;0,S118*100/Q118,0)</f>
        <v>28.21025983951089</v>
      </c>
      <c r="U118" s="515">
        <f t="shared" ref="U118:U126" ca="1" si="79">IF(R118&gt;0,S118*100/R118,0)</f>
        <v>28.21025983951089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209360</v>
      </c>
      <c r="R120" s="230">
        <f t="shared" ca="1" si="81"/>
        <v>209360</v>
      </c>
      <c r="S120" s="230">
        <f t="shared" ca="1" si="81"/>
        <v>59061</v>
      </c>
      <c r="T120" s="230">
        <f t="shared" ca="1" si="78"/>
        <v>28.21025983951089</v>
      </c>
      <c r="U120" s="230">
        <f t="shared" ca="1" si="79"/>
        <v>28.21025983951089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209360</v>
      </c>
      <c r="R121" s="230">
        <f t="shared" ca="1" si="83"/>
        <v>209360</v>
      </c>
      <c r="S121" s="230">
        <f t="shared" ca="1" si="83"/>
        <v>59061</v>
      </c>
      <c r="T121" s="230">
        <f t="shared" ca="1" si="78"/>
        <v>28.21025983951089</v>
      </c>
      <c r="U121" s="230">
        <f t="shared" ca="1" si="79"/>
        <v>28.21025983951089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IFERROR(__xludf.DUMMYFUNCTION("IMPORTRANGE(""https://docs.google.com/spreadsheets/d/1-uDff_7J0KD5mKrp0Vvzr7lt3OU09vwQwhkpOPPYv2Y/edit?usp=sharing"",""งบพรบ!BG16"")"),0)</f>
        <v>0</v>
      </c>
      <c r="M123" s="230">
        <f ca="1">IFERROR(__xludf.DUMMYFUNCTION("IMPORTRANGE(""https://docs.google.com/spreadsheets/d/1-uDff_7J0KD5mKrp0Vvzr7lt3OU09vwQwhkpOPPYv2Y/edit?usp=sharing"",""งบพรบ!BL16"")"),0)</f>
        <v>0</v>
      </c>
      <c r="N123" s="230">
        <f ca="1">IFERROR(__xludf.DUMMYFUNCTION("IMPORTRANGE(""https://docs.google.com/spreadsheets/d/1-uDff_7J0KD5mKrp0Vvzr7lt3OU09vwQwhkpOPPYv2Y/edit?usp=sharing"",""งบพรบ!BN16"")"),0)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IFERROR(__xludf.DUMMYFUNCTION("IMPORTRANGE(""https://docs.google.com/spreadsheets/d/1ItG2mGa2ceCfYo0BwxsXqNm01IGEUdYcSSLTEv9YCik/edit?usp=sharing"",""เบิกจ่ายกองทุน!R16"")"),209360)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IFERROR(__xludf.DUMMYFUNCTION("IMPORTRANGE(""https://docs.google.com/spreadsheets/d/1ItG2mGa2ceCfYo0BwxsXqNm01IGEUdYcSSLTEv9YCik/edit?usp=sharing"",""เบิกจ่ายกองทุน!S16"")"),209360)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IFERROR(__xludf.DUMMYFUNCTION("IMPORTRANGE(""https://docs.google.com/spreadsheets/d/1ItG2mGa2ceCfYo0BwxsXqNm01IGEUdYcSSLTEv9YCik/edit?usp=sharing"",""เบิกจ่ายกองทุน!T16"")"),59061)</f>
        <v>59061</v>
      </c>
      <c r="T123" s="230">
        <f t="shared" ca="1" si="78"/>
        <v>28.21025983951089</v>
      </c>
      <c r="U123" s="230">
        <f t="shared" ca="1" si="79"/>
        <v>28.21025983951089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IFERROR(__xludf.DUMMYFUNCTION("IMPORTRANGE(""https://docs.google.com/spreadsheets/d/1-uDff_7J0KD5mKrp0Vvzr7lt3OU09vwQwhkpOPPYv2Y/edit?usp=sharing"",""งบพรบ!BJ16"")"),0)</f>
        <v>0</v>
      </c>
      <c r="M126" s="230">
        <f ca="1">IFERROR(__xludf.DUMMYFUNCTION("IMPORTRANGE(""https://docs.google.com/spreadsheets/d/1-uDff_7J0KD5mKrp0Vvzr7lt3OU09vwQwhkpOPPYv2Y/edit?usp=sharing"",""งบพรบ!BM16"")"),0)</f>
        <v>0</v>
      </c>
      <c r="N126" s="230">
        <f ca="1">IFERROR(__xludf.DUMMYFUNCTION("IMPORTRANGE(""https://docs.google.com/spreadsheets/d/1-uDff_7J0KD5mKrp0Vvzr7lt3OU09vwQwhkpOPPYv2Y/edit?usp=sharing"",""งบพรบ!BO16"")"),0)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IFERROR(__xludf.DUMMYFUNCTION("IMPORTRANGE(""https://docs.google.com/spreadsheets/d/1eHaY18a8A9IcSdp1K8H6x8fbOy06t2VsZHhMHf-1x7Y/edit?usp=sharing"",""แผน!FF16"")"),20)</f>
        <v>20</v>
      </c>
      <c r="J128" s="520">
        <v>20</v>
      </c>
      <c r="K128" s="230">
        <f t="shared" ref="K128:K131" ca="1" si="86">IF(I128&gt;0,J128*100/I128,0)</f>
        <v>100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IFERROR(__xludf.DUMMYFUNCTION("IMPORTRANGE(""https://docs.google.com/spreadsheets/d/1eHaY18a8A9IcSdp1K8H6x8fbOy06t2VsZHhMHf-1x7Y/edit?usp=sharing"",""แผน!FG16"")"),0)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IFERROR(__xludf.DUMMYFUNCTION("IMPORTRANGE(""https://docs.google.com/spreadsheets/d/1eHaY18a8A9IcSdp1K8H6x8fbOy06t2VsZHhMHf-1x7Y/edit?usp=sharing"",""แผน!FH16"")"),20)</f>
        <v>20</v>
      </c>
      <c r="J130" s="520">
        <v>20</v>
      </c>
      <c r="K130" s="230">
        <f t="shared" ca="1" si="86"/>
        <v>100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IFERROR(__xludf.DUMMYFUNCTION("IMPORTRANGE(""https://docs.google.com/spreadsheets/d/1eHaY18a8A9IcSdp1K8H6x8fbOy06t2VsZHhMHf-1x7Y/edit?usp=sharing"",""แผน!FI16"")"),0)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1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20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2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137700</v>
      </c>
      <c r="M140" s="515">
        <f t="shared" ca="1" si="90"/>
        <v>132700</v>
      </c>
      <c r="N140" s="515">
        <f t="shared" ca="1" si="90"/>
        <v>63000</v>
      </c>
      <c r="O140" s="515">
        <f t="shared" ref="O140:O148" ca="1" si="91">IF(L140&gt;0,N140*100/L140,0)</f>
        <v>45.751633986928105</v>
      </c>
      <c r="P140" s="515">
        <f t="shared" ref="P140:P148" ca="1" si="92">IF(M140&gt;0,N140*100/M140,0)</f>
        <v>47.475508666164281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137700</v>
      </c>
      <c r="M142" s="230">
        <f t="shared" ca="1" si="96"/>
        <v>132700</v>
      </c>
      <c r="N142" s="230">
        <f t="shared" ca="1" si="96"/>
        <v>63000</v>
      </c>
      <c r="O142" s="230">
        <f t="shared" ca="1" si="91"/>
        <v>45.751633986928105</v>
      </c>
      <c r="P142" s="230">
        <f t="shared" ca="1" si="92"/>
        <v>47.475508666164281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137700</v>
      </c>
      <c r="M143" s="230">
        <f t="shared" ca="1" si="98"/>
        <v>132700</v>
      </c>
      <c r="N143" s="230">
        <f t="shared" ca="1" si="98"/>
        <v>63000</v>
      </c>
      <c r="O143" s="230">
        <f t="shared" ca="1" si="91"/>
        <v>45.751633986928105</v>
      </c>
      <c r="P143" s="230">
        <f t="shared" ca="1" si="92"/>
        <v>47.475508666164281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IFERROR(__xludf.DUMMYFUNCTION("IMPORTRANGE(""https://docs.google.com/spreadsheets/d/1-uDff_7J0KD5mKrp0Vvzr7lt3OU09vwQwhkpOPPYv2Y/edit?usp=sharing"",""งบพรบ!BQ16"")"),137700)</f>
        <v>137700</v>
      </c>
      <c r="M145" s="230">
        <f ca="1">IFERROR(__xludf.DUMMYFUNCTION("IMPORTRANGE(""https://docs.google.com/spreadsheets/d/1-uDff_7J0KD5mKrp0Vvzr7lt3OU09vwQwhkpOPPYv2Y/edit?usp=sharing"",""งบพรบ!BV16"")"),132700)</f>
        <v>132700</v>
      </c>
      <c r="N145" s="230">
        <f ca="1">IFERROR(__xludf.DUMMYFUNCTION("IMPORTRANGE(""https://docs.google.com/spreadsheets/d/1-uDff_7J0KD5mKrp0Vvzr7lt3OU09vwQwhkpOPPYv2Y/edit?usp=sharing"",""งบพรบ!BX16"")"),63000)</f>
        <v>63000</v>
      </c>
      <c r="O145" s="230">
        <f t="shared" ca="1" si="91"/>
        <v>45.751633986928105</v>
      </c>
      <c r="P145" s="230">
        <f t="shared" ca="1" si="92"/>
        <v>47.475508666164281</v>
      </c>
      <c r="Q145" s="230">
        <f ca="1">IFERROR(__xludf.DUMMYFUNCTION("IMPORTRANGE(""https://docs.google.com/spreadsheets/d/1ItG2mGa2ceCfYo0BwxsXqNm01IGEUdYcSSLTEv9YCik/edit?usp=sharing"",""เบิกจ่ายกองทุน!BB16"")"),0)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IFERROR(__xludf.DUMMYFUNCTION("IMPORTRANGE(""https://docs.google.com/spreadsheets/d/1ItG2mGa2ceCfYo0BwxsXqNm01IGEUdYcSSLTEv9YCik/edit?usp=sharing"",""เบิกจ่ายกองทุน!BC16"")"),0)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IFERROR(__xludf.DUMMYFUNCTION("IMPORTRANGE(""https://docs.google.com/spreadsheets/d/1ItG2mGa2ceCfYo0BwxsXqNm01IGEUdYcSSLTEv9YCik/edit?usp=sharing"",""เบิกจ่ายกองทุน!BD16"")"),0)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IFERROR(__xludf.DUMMYFUNCTION("IMPORTRANGE(""https://docs.google.com/spreadsheets/d/1-uDff_7J0KD5mKrp0Vvzr7lt3OU09vwQwhkpOPPYv2Y/edit?usp=sharing"",""งบพรบ!BT16"")"),0)</f>
        <v>0</v>
      </c>
      <c r="M148" s="230">
        <f ca="1">IFERROR(__xludf.DUMMYFUNCTION("IMPORTRANGE(""https://docs.google.com/spreadsheets/d/1-uDff_7J0KD5mKrp0Vvzr7lt3OU09vwQwhkpOPPYv2Y/edit?usp=sharing"",""งบพรบ!BW16"")"),0)</f>
        <v>0</v>
      </c>
      <c r="N148" s="230">
        <f ca="1">IFERROR(__xludf.DUMMYFUNCTION("IMPORTRANGE(""https://docs.google.com/spreadsheets/d/1-uDff_7J0KD5mKrp0Vvzr7lt3OU09vwQwhkpOPPYv2Y/edit?usp=sharing"",""งบพรบ!BY16"")"),0)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IFERROR(__xludf.DUMMYFUNCTION("IMPORTRANGE(""https://docs.google.com/spreadsheets/d/1eHaY18a8A9IcSdp1K8H6x8fbOy06t2VsZHhMHf-1x7Y/edit?usp=sharing"",""แผน!U16"")"),10)</f>
        <v>10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IFERROR(__xludf.DUMMYFUNCTION("IMPORTRANGE(""https://docs.google.com/spreadsheets/d/1eHaY18a8A9IcSdp1K8H6x8fbOy06t2VsZHhMHf-1x7Y/edit?usp=sharing"",""แผน!V16"")"),1)</f>
        <v>1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IFERROR(__xludf.DUMMYFUNCTION("IMPORTRANGE(""https://docs.google.com/spreadsheets/d/1eHaY18a8A9IcSdp1K8H6x8fbOy06t2VsZHhMHf-1x7Y/edit?usp=sharing"",""แผน!W16"")"),20)</f>
        <v>20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IFERROR(__xludf.DUMMYFUNCTION("IMPORTRANGE(""https://docs.google.com/spreadsheets/d/1eHaY18a8A9IcSdp1K8H6x8fbOy06t2VsZHhMHf-1x7Y/edit?usp=sharing"",""แผน!X16"")"),2)</f>
        <v>2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IFERROR(__xludf.DUMMYFUNCTION("IMPORTRANGE(""https://docs.google.com/spreadsheets/d/1eHaY18a8A9IcSdp1K8H6x8fbOy06t2VsZHhMHf-1x7Y/edit?usp=sharing"",""แผน!Y16"")"),1)</f>
        <v>1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I170</f>
        <v>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0</v>
      </c>
      <c r="M158" s="515">
        <f t="shared" ca="1" si="104"/>
        <v>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0</v>
      </c>
      <c r="M160" s="230">
        <f t="shared" ca="1" si="110"/>
        <v>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0</v>
      </c>
      <c r="M161" s="230">
        <f t="shared" ca="1" si="112"/>
        <v>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IFERROR(__xludf.DUMMYFUNCTION("IMPORTRANGE(""https://docs.google.com/spreadsheets/d/1-uDff_7J0KD5mKrp0Vvzr7lt3OU09vwQwhkpOPPYv2Y/edit?usp=sharing"",""งบพรบ!CA16"")"),0)</f>
        <v>0</v>
      </c>
      <c r="M163" s="230">
        <f ca="1">IFERROR(__xludf.DUMMYFUNCTION("IMPORTRANGE(""https://docs.google.com/spreadsheets/d/1-uDff_7J0KD5mKrp0Vvzr7lt3OU09vwQwhkpOPPYv2Y/edit?usp=sharing"",""งบพรบ!CF16"")"),0)</f>
        <v>0</v>
      </c>
      <c r="N163" s="230">
        <f ca="1">IFERROR(__xludf.DUMMYFUNCTION("IMPORTRANGE(""https://docs.google.com/spreadsheets/d/1-uDff_7J0KD5mKrp0Vvzr7lt3OU09vwQwhkpOPPYv2Y/edit?usp=sharing"",""งบพรบ!CH16"")"),0)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IFERROR(__xludf.DUMMYFUNCTION("IMPORTRANGE(""https://docs.google.com/spreadsheets/d/1ItG2mGa2ceCfYo0BwxsXqNm01IGEUdYcSSLTEv9YCik/edit?usp=sharing"",""เบิกจ่ายกองทุน!AG16"")"),0)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IFERROR(__xludf.DUMMYFUNCTION("IMPORTRANGE(""https://docs.google.com/spreadsheets/d/1ItG2mGa2ceCfYo0BwxsXqNm01IGEUdYcSSLTEv9YCik/edit?usp=sharing"",""เบิกจ่ายกองทุน!AH16"")"),0)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IFERROR(__xludf.DUMMYFUNCTION("IMPORTRANGE(""https://docs.google.com/spreadsheets/d/1ItG2mGa2ceCfYo0BwxsXqNm01IGEUdYcSSLTEv9YCik/edit?usp=sharing"",""เบิกจ่ายกองทุน!AI16"")"),0)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IFERROR(__xludf.DUMMYFUNCTION("IMPORTRANGE(""https://docs.google.com/spreadsheets/d/1-uDff_7J0KD5mKrp0Vvzr7lt3OU09vwQwhkpOPPYv2Y/edit?usp=sharing"",""งบพรบ!CD16"")"),0)</f>
        <v>0</v>
      </c>
      <c r="M166" s="230">
        <f ca="1">IFERROR(__xludf.DUMMYFUNCTION("IMPORTRANGE(""https://docs.google.com/spreadsheets/d/1-uDff_7J0KD5mKrp0Vvzr7lt3OU09vwQwhkpOPPYv2Y/edit?usp=sharing"",""งบพรบ!CG16"")"),0)</f>
        <v>0</v>
      </c>
      <c r="N166" s="230">
        <f ca="1">IFERROR(__xludf.DUMMYFUNCTION("IMPORTRANGE(""https://docs.google.com/spreadsheets/d/1-uDff_7J0KD5mKrp0Vvzr7lt3OU09vwQwhkpOPPYv2Y/edit?usp=sharing"",""งบพรบ!CI16"")"),0)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IFERROR(__xludf.DUMMYFUNCTION("IMPORTRANGE(""https://docs.google.com/spreadsheets/d/1eHaY18a8A9IcSdp1K8H6x8fbOy06t2VsZHhMHf-1x7Y/edit?usp=sharing"",""แผน!Z16"")"),0)</f>
        <v>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IFERROR(__xludf.DUMMYFUNCTION("IMPORTRANGE(""https://docs.google.com/spreadsheets/d/1eHaY18a8A9IcSdp1K8H6x8fbOy06t2VsZHhMHf-1x7Y/edit?usp=sharing"",""แผน!Z16"")"),0)</f>
        <v>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IFERROR(__xludf.DUMMYFUNCTION("IMPORTRANGE(""https://docs.google.com/spreadsheets/d/1eHaY18a8A9IcSdp1K8H6x8fbOy06t2VsZHhMHf-1x7Y/edit?usp=sharing"",""แผน!Z16"")"),0)</f>
        <v>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166020</v>
      </c>
      <c r="N174" s="515">
        <f t="shared" ca="1" si="118"/>
        <v>163865</v>
      </c>
      <c r="O174" s="515">
        <f t="shared" ref="O174:O182" ca="1" si="119">IF(L174&gt;0,N174*100/L174,0)</f>
        <v>836.47269014803476</v>
      </c>
      <c r="P174" s="515">
        <f t="shared" ref="P174:P182" ca="1" si="120">IF(M174&gt;0,N174*100/M174,0)</f>
        <v>98.701963618841106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166020</v>
      </c>
      <c r="N176" s="230">
        <f t="shared" ca="1" si="124"/>
        <v>163865</v>
      </c>
      <c r="O176" s="230">
        <f t="shared" ca="1" si="119"/>
        <v>836.47269014803476</v>
      </c>
      <c r="P176" s="230">
        <f t="shared" ca="1" si="120"/>
        <v>98.701963618841106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166020</v>
      </c>
      <c r="N177" s="230">
        <f t="shared" ca="1" si="126"/>
        <v>163865</v>
      </c>
      <c r="O177" s="230">
        <f t="shared" ca="1" si="119"/>
        <v>836.47269014803476</v>
      </c>
      <c r="P177" s="230">
        <f t="shared" ca="1" si="120"/>
        <v>98.701963618841106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IFERROR(__xludf.DUMMYFUNCTION("IMPORTRANGE(""https://docs.google.com/spreadsheets/d/1-uDff_7J0KD5mKrp0Vvzr7lt3OU09vwQwhkpOPPYv2Y/edit?usp=sharing"",""งบพรบ!CK16"")"),19590)</f>
        <v>19590</v>
      </c>
      <c r="M179" s="230">
        <f ca="1">IFERROR(__xludf.DUMMYFUNCTION("IMPORTRANGE(""https://docs.google.com/spreadsheets/d/1-uDff_7J0KD5mKrp0Vvzr7lt3OU09vwQwhkpOPPYv2Y/edit?usp=sharing"",""งบพรบ!CP16"")"),166020)</f>
        <v>166020</v>
      </c>
      <c r="N179" s="230">
        <f ca="1">IFERROR(__xludf.DUMMYFUNCTION("IMPORTRANGE(""https://docs.google.com/spreadsheets/d/1-uDff_7J0KD5mKrp0Vvzr7lt3OU09vwQwhkpOPPYv2Y/edit?usp=sharing"",""งบพรบ!CR16"")"),163865)</f>
        <v>163865</v>
      </c>
      <c r="O179" s="230">
        <f t="shared" ca="1" si="119"/>
        <v>836.47269014803476</v>
      </c>
      <c r="P179" s="230">
        <f t="shared" ca="1" si="120"/>
        <v>98.701963618841106</v>
      </c>
      <c r="Q179" s="230">
        <f ca="1">IFERROR(__xludf.DUMMYFUNCTION("IMPORTRANGE(""https://docs.google.com/spreadsheets/d/1ItG2mGa2ceCfYo0BwxsXqNm01IGEUdYcSSLTEv9YCik/edit?usp=sharing"",""เบิกจ่ายกองทุน!BE16"")"),0)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IFERROR(__xludf.DUMMYFUNCTION("IMPORTRANGE(""https://docs.google.com/spreadsheets/d/1ItG2mGa2ceCfYo0BwxsXqNm01IGEUdYcSSLTEv9YCik/edit?usp=sharing"",""เบิกจ่ายกองทุน!BF16"")"),0)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IFERROR(__xludf.DUMMYFUNCTION("IMPORTRANGE(""https://docs.google.com/spreadsheets/d/1ItG2mGa2ceCfYo0BwxsXqNm01IGEUdYcSSLTEv9YCik/edit?usp=sharing"",""เบิกจ่ายกองทุน!BG16"")"),0)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IFERROR(__xludf.DUMMYFUNCTION("IMPORTRANGE(""https://docs.google.com/spreadsheets/d/1-uDff_7J0KD5mKrp0Vvzr7lt3OU09vwQwhkpOPPYv2Y/edit?usp=sharing"",""งบพรบ!CN16"")"),0)</f>
        <v>0</v>
      </c>
      <c r="M182" s="230">
        <f ca="1">IFERROR(__xludf.DUMMYFUNCTION("IMPORTRANGE(""https://docs.google.com/spreadsheets/d/1-uDff_7J0KD5mKrp0Vvzr7lt3OU09vwQwhkpOPPYv2Y/edit?usp=sharing"",""งบพรบ!CQ16"")"),0)</f>
        <v>0</v>
      </c>
      <c r="N182" s="230">
        <f ca="1">IFERROR(__xludf.DUMMYFUNCTION("IMPORTRANGE(""https://docs.google.com/spreadsheets/d/1-uDff_7J0KD5mKrp0Vvzr7lt3OU09vwQwhkpOPPYv2Y/edit?usp=sharing"",""งบพรบ!CS16"")"),0)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IFERROR(__xludf.DUMMYFUNCTION("IMPORTRANGE(""https://docs.google.com/spreadsheets/d/1eHaY18a8A9IcSdp1K8H6x8fbOy06t2VsZHhMHf-1x7Y/edit?usp=sharing"",""แผน!AA16"")"),7)</f>
        <v>7</v>
      </c>
      <c r="J184" s="520">
        <v>7</v>
      </c>
      <c r="K184" s="230">
        <f t="shared" ref="K184:K186" ca="1" si="130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60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509400</v>
      </c>
      <c r="M187" s="515">
        <f t="shared" ca="1" si="132"/>
        <v>413100</v>
      </c>
      <c r="N187" s="515">
        <f t="shared" ca="1" si="132"/>
        <v>166401.67000000001</v>
      </c>
      <c r="O187" s="515">
        <f t="shared" ref="O187:O195" ca="1" si="133">IF(L187&gt;0,N187*100/L187,0)</f>
        <v>32.666209265802912</v>
      </c>
      <c r="P187" s="515">
        <f t="shared" ref="P187:P195" ca="1" si="134">IF(M187&gt;0,N187*100/M187,0)</f>
        <v>40.281207939966116</v>
      </c>
      <c r="Q187" s="515">
        <f t="shared" ref="Q187:S187" ca="1" si="135">Q188+Q189</f>
        <v>324600</v>
      </c>
      <c r="R187" s="515">
        <f t="shared" ca="1" si="135"/>
        <v>324600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509400</v>
      </c>
      <c r="M189" s="230">
        <f t="shared" ca="1" si="138"/>
        <v>413100</v>
      </c>
      <c r="N189" s="230">
        <f t="shared" ca="1" si="138"/>
        <v>166401.67000000001</v>
      </c>
      <c r="O189" s="230">
        <f t="shared" ca="1" si="133"/>
        <v>32.666209265802912</v>
      </c>
      <c r="P189" s="230">
        <f t="shared" ca="1" si="134"/>
        <v>40.281207939966116</v>
      </c>
      <c r="Q189" s="230">
        <f t="shared" ca="1" si="139"/>
        <v>324600</v>
      </c>
      <c r="R189" s="230">
        <f t="shared" ca="1" si="139"/>
        <v>324600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509400</v>
      </c>
      <c r="M190" s="230">
        <f t="shared" ca="1" si="140"/>
        <v>413100</v>
      </c>
      <c r="N190" s="230">
        <f t="shared" ca="1" si="140"/>
        <v>166401.67000000001</v>
      </c>
      <c r="O190" s="230">
        <f t="shared" ca="1" si="133"/>
        <v>32.666209265802912</v>
      </c>
      <c r="P190" s="230">
        <f t="shared" ca="1" si="134"/>
        <v>40.281207939966116</v>
      </c>
      <c r="Q190" s="230">
        <f t="shared" ref="Q190:S190" ca="1" si="141">Q191+Q192</f>
        <v>324600</v>
      </c>
      <c r="R190" s="230">
        <f t="shared" ca="1" si="141"/>
        <v>324600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IFERROR(__xludf.DUMMYFUNCTION("IMPORTRANGE(""https://docs.google.com/spreadsheets/d/1-uDff_7J0KD5mKrp0Vvzr7lt3OU09vwQwhkpOPPYv2Y/edit?usp=sharing"",""งบพรบ!CU16"")"),509400)</f>
        <v>509400</v>
      </c>
      <c r="M192" s="230">
        <f ca="1">IFERROR(__xludf.DUMMYFUNCTION("IMPORTRANGE(""https://docs.google.com/spreadsheets/d/1-uDff_7J0KD5mKrp0Vvzr7lt3OU09vwQwhkpOPPYv2Y/edit?usp=sharing"",""งบพรบ!CZ16"")"),413100)</f>
        <v>413100</v>
      </c>
      <c r="N192" s="230">
        <f ca="1">IFERROR(__xludf.DUMMYFUNCTION("IMPORTRANGE(""https://docs.google.com/spreadsheets/d/1-uDff_7J0KD5mKrp0Vvzr7lt3OU09vwQwhkpOPPYv2Y/edit?usp=sharing"",""งบพรบ!DB16"")"),166401.67)</f>
        <v>166401.67000000001</v>
      </c>
      <c r="O192" s="230">
        <f t="shared" ca="1" si="133"/>
        <v>32.666209265802912</v>
      </c>
      <c r="P192" s="230">
        <f t="shared" ca="1" si="134"/>
        <v>40.281207939966116</v>
      </c>
      <c r="Q192" s="230">
        <f ca="1">IFERROR(__xludf.DUMMYFUNCTION("IMPORTRANGE(""https://docs.google.com/spreadsheets/d/1ItG2mGa2ceCfYo0BwxsXqNm01IGEUdYcSSLTEv9YCik/edit?usp=sharing"",""เบิกจ่ายกองทุน!AV16"")"),324600)</f>
        <v>324600</v>
      </c>
      <c r="R192" s="230">
        <f ca="1">IFERROR(__xludf.DUMMYFUNCTION("IMPORTRANGE(""https://docs.google.com/spreadsheets/d/1ItG2mGa2ceCfYo0BwxsXqNm01IGEUdYcSSLTEv9YCik/edit?usp=sharing"",""เบิกจ่ายกองทุน!AW16"")"),324600)</f>
        <v>324600</v>
      </c>
      <c r="S192" s="230">
        <f ca="1">IFERROR(__xludf.DUMMYFUNCTION("IMPORTRANGE(""https://docs.google.com/spreadsheets/d/1ItG2mGa2ceCfYo0BwxsXqNm01IGEUdYcSSLTEv9YCik/edit?usp=sharing"",""เบิกจ่ายกองทุน!AX16"")"),0)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IFERROR(__xludf.DUMMYFUNCTION("IMPORTRANGE(""https://docs.google.com/spreadsheets/d/1-uDff_7J0KD5mKrp0Vvzr7lt3OU09vwQwhkpOPPYv2Y/edit?usp=sharing"",""งบพรบ!CX16"")"),0)</f>
        <v>0</v>
      </c>
      <c r="M195" s="230">
        <f ca="1">IFERROR(__xludf.DUMMYFUNCTION("IMPORTRANGE(""https://docs.google.com/spreadsheets/d/1-uDff_7J0KD5mKrp0Vvzr7lt3OU09vwQwhkpOPPYv2Y/edit?usp=sharing"",""งบพรบ!DA16"")"),0)</f>
        <v>0</v>
      </c>
      <c r="N195" s="230">
        <f ca="1">IFERROR(__xludf.DUMMYFUNCTION("IMPORTRANGE(""https://docs.google.com/spreadsheets/d/1-uDff_7J0KD5mKrp0Vvzr7lt3OU09vwQwhkpOPPYv2Y/edit?usp=sharing"",""งบพรบ!DC16"")"),0)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IFERROR(__xludf.DUMMYFUNCTION("IMPORTRANGE(""https://docs.google.com/spreadsheets/d/1eHaY18a8A9IcSdp1K8H6x8fbOy06t2VsZHhMHf-1x7Y/edit?usp=sharing"",""แผน!AB16"")"),6000)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IFERROR(__xludf.DUMMYFUNCTION("IMPORTRANGE(""https://docs.google.com/spreadsheets/d/1eHaY18a8A9IcSdp1K8H6x8fbOy06t2VsZHhMHf-1x7Y/edit?usp=sharing"",""แผน!AE16"")"),4)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25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25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2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26000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IFERROR(__xludf.DUMMYFUNCTION("IMPORTRANGE(""https://docs.google.com/spreadsheets/d/1eHaY18a8A9IcSdp1K8H6x8fbOy06t2VsZHhMHf-1x7Y/edit?usp=sharing"",""แผน!AG16"")"),2000)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IFERROR(__xludf.DUMMYFUNCTION("IMPORTRANGE(""https://docs.google.com/spreadsheets/d/1eHaY18a8A9IcSdp1K8H6x8fbOy06t2VsZHhMHf-1x7Y/edit?usp=sharing"",""แผน!AH16"")"),0)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IFERROR(__xludf.DUMMYFUNCTION("IMPORTRANGE(""https://docs.google.com/spreadsheets/d/1eHaY18a8A9IcSdp1K8H6x8fbOy06t2VsZHhMHf-1x7Y/edit?usp=sharing"",""แผน!AI16"")"),16000)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IFERROR(__xludf.DUMMYFUNCTION("IMPORTRANGE(""https://docs.google.com/spreadsheets/d/1eHaY18a8A9IcSdp1K8H6x8fbOy06t2VsZHhMHf-1x7Y/edit?usp=sharing"",""แผน!AJ16"")"),8000)</f>
        <v>8000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IFERROR(__xludf.DUMMYFUNCTION("IMPORTRANGE(""https://docs.google.com/spreadsheets/d/1eHaY18a8A9IcSdp1K8H6x8fbOy06t2VsZHhMHf-1x7Y/edit?usp=sharing"",""แผน!AK16"")"),2)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IFERROR(__xludf.DUMMYFUNCTION("IMPORTRANGE(""https://docs.google.com/spreadsheets/d/1eHaY18a8A9IcSdp1K8H6x8fbOy06t2VsZHhMHf-1x7Y/edit?usp=sharing"",""แผน!JX16"")"),2)</f>
        <v>2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IFERROR(__xludf.DUMMYFUNCTION("IMPORTRANGE(""https://docs.google.com/spreadsheets/d/1eHaY18a8A9IcSdp1K8H6x8fbOy06t2VsZHhMHf-1x7Y/edit?usp=sharing"",""แผน!JY16"")"),0)</f>
        <v>0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1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14000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IFERROR(__xludf.DUMMYFUNCTION("IMPORTRANGE(""https://docs.google.com/spreadsheets/d/1eHaY18a8A9IcSdp1K8H6x8fbOy06t2VsZHhMHf-1x7Y/edit?usp=sharing"",""แผน!AM16"")"),1000)</f>
        <v>1000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IFERROR(__xludf.DUMMYFUNCTION("IMPORTRANGE(""https://docs.google.com/spreadsheets/d/1eHaY18a8A9IcSdp1K8H6x8fbOy06t2VsZHhMHf-1x7Y/edit?usp=sharing"",""แผน!AN16"")"),5000)</f>
        <v>5000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IFERROR(__xludf.DUMMYFUNCTION("IMPORTRANGE(""https://docs.google.com/spreadsheets/d/1eHaY18a8A9IcSdp1K8H6x8fbOy06t2VsZHhMHf-1x7Y/edit?usp=sharing"",""แผน!AO16"")"),8000)</f>
        <v>8000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IFERROR(__xludf.DUMMYFUNCTION("IMPORTRANGE(""https://docs.google.com/spreadsheets/d/1eHaY18a8A9IcSdp1K8H6x8fbOy06t2VsZHhMHf-1x7Y/edit?usp=sharing"",""แผน!AP16"")"),1)</f>
        <v>1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IFERROR(__xludf.DUMMYFUNCTION("IMPORTRANGE(""https://docs.google.com/spreadsheets/d/1eHaY18a8A9IcSdp1K8H6x8fbOy06t2VsZHhMHf-1x7Y/edit?usp=sharing"",""แผน!AP16"")"),1)</f>
        <v>1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16000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4500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IFERROR(__xludf.DUMMYFUNCTION("IMPORTRANGE(""https://docs.google.com/spreadsheets/d/1eHaY18a8A9IcSdp1K8H6x8fbOy06t2VsZHhMHf-1x7Y/edit?usp=sharing"",""แผน!AR16"")"),3000)</f>
        <v>3000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IFERROR(__xludf.DUMMYFUNCTION("IMPORTRANGE(""https://docs.google.com/spreadsheets/d/1eHaY18a8A9IcSdp1K8H6x8fbOy06t2VsZHhMHf-1x7Y/edit?usp=sharing"",""แผน!AS16"")"),1500)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IFERROR(__xludf.DUMMYFUNCTION("IMPORTRANGE(""https://docs.google.com/spreadsheets/d/1eHaY18a8A9IcSdp1K8H6x8fbOy06t2VsZHhMHf-1x7Y/edit?usp=sharing"",""แผน!AT16"")"),0)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IFERROR(__xludf.DUMMYFUNCTION("IMPORTRANGE(""https://docs.google.com/spreadsheets/d/1eHaY18a8A9IcSdp1K8H6x8fbOy06t2VsZHhMHf-1x7Y/edit?usp=sharing"",""แผน!AV16"")"),16000)</f>
        <v>16000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IFERROR(__xludf.DUMMYFUNCTION("IMPORTRANGE(""https://docs.google.com/spreadsheets/d/1eHaY18a8A9IcSdp1K8H6x8fbOy06t2VsZHhMHf-1x7Y/edit?usp=sharing"",""แผน!AV16"")"),16000)</f>
        <v>16000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IFERROR(__xludf.DUMMYFUNCTION("IMPORTRANGE(""https://docs.google.com/spreadsheets/d/1eHaY18a8A9IcSdp1K8H6x8fbOy06t2VsZHhMHf-1x7Y/edit?usp=sharing"",""แผน!AU16"")"),0)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722"/>
      <c r="B232" s="723"/>
      <c r="C232" s="545" t="s">
        <v>105</v>
      </c>
      <c r="D232" s="724"/>
      <c r="E232" s="724"/>
      <c r="F232" s="724"/>
      <c r="G232" s="725"/>
      <c r="H232" s="546" t="s">
        <v>35</v>
      </c>
      <c r="I232" s="547">
        <f t="shared" ref="I232:J232" ca="1" si="151">I243+I254</f>
        <v>60</v>
      </c>
      <c r="J232" s="547">
        <f t="shared" si="151"/>
        <v>0</v>
      </c>
      <c r="K232" s="548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584"/>
      <c r="B233" s="585"/>
      <c r="C233" s="549" t="s">
        <v>18</v>
      </c>
      <c r="D233" s="550" t="s">
        <v>19</v>
      </c>
      <c r="E233" s="585"/>
      <c r="F233" s="585"/>
      <c r="G233" s="586"/>
      <c r="H233" s="384" t="s">
        <v>14</v>
      </c>
      <c r="I233" s="597"/>
      <c r="J233" s="597"/>
      <c r="K233" s="598"/>
      <c r="L233" s="543">
        <f t="shared" ref="L233:L237" ca="1" si="152">L244+L255</f>
        <v>367900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584"/>
      <c r="B234" s="726"/>
      <c r="C234" s="585"/>
      <c r="D234" s="589" t="s">
        <v>311</v>
      </c>
      <c r="E234" s="585"/>
      <c r="F234" s="585"/>
      <c r="G234" s="586"/>
      <c r="H234" s="157" t="s">
        <v>14</v>
      </c>
      <c r="I234" s="597"/>
      <c r="J234" s="597"/>
      <c r="K234" s="598"/>
      <c r="L234" s="483">
        <f t="shared" ca="1" si="152"/>
        <v>205400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727"/>
      <c r="B235" s="726"/>
      <c r="C235" s="726"/>
      <c r="D235" s="589" t="s">
        <v>87</v>
      </c>
      <c r="E235" s="585"/>
      <c r="F235" s="585"/>
      <c r="G235" s="586"/>
      <c r="H235" s="157" t="s">
        <v>14</v>
      </c>
      <c r="I235" s="587"/>
      <c r="J235" s="587"/>
      <c r="K235" s="588"/>
      <c r="L235" s="483">
        <f t="shared" ca="1" si="152"/>
        <v>5000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727"/>
      <c r="B236" s="726"/>
      <c r="C236" s="726"/>
      <c r="D236" s="589" t="s">
        <v>88</v>
      </c>
      <c r="E236" s="585"/>
      <c r="F236" s="585"/>
      <c r="G236" s="586"/>
      <c r="H236" s="157" t="s">
        <v>14</v>
      </c>
      <c r="I236" s="587"/>
      <c r="J236" s="587"/>
      <c r="K236" s="588"/>
      <c r="L236" s="483">
        <f t="shared" ca="1" si="152"/>
        <v>80500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727"/>
      <c r="B237" s="726"/>
      <c r="C237" s="726"/>
      <c r="D237" s="589" t="s">
        <v>89</v>
      </c>
      <c r="E237" s="585"/>
      <c r="F237" s="585"/>
      <c r="G237" s="586"/>
      <c r="H237" s="157" t="s">
        <v>14</v>
      </c>
      <c r="I237" s="587"/>
      <c r="J237" s="587"/>
      <c r="K237" s="588"/>
      <c r="L237" s="483">
        <f t="shared" ca="1" si="152"/>
        <v>77000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728"/>
      <c r="B238" s="729"/>
      <c r="C238" s="551" t="s">
        <v>18</v>
      </c>
      <c r="D238" s="552" t="s">
        <v>38</v>
      </c>
      <c r="E238" s="730"/>
      <c r="F238" s="730"/>
      <c r="G238" s="731"/>
      <c r="H238" s="732"/>
      <c r="I238" s="597"/>
      <c r="J238" s="587"/>
      <c r="K238" s="588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728"/>
      <c r="B239" s="729"/>
      <c r="C239" s="729"/>
      <c r="D239" s="180" t="s">
        <v>108</v>
      </c>
      <c r="E239" s="733"/>
      <c r="F239" s="733"/>
      <c r="G239" s="732"/>
      <c r="H239" s="553" t="s">
        <v>35</v>
      </c>
      <c r="I239" s="444">
        <f t="shared" ref="I239:J239" ca="1" si="154">I250+I261</f>
        <v>60</v>
      </c>
      <c r="J239" s="444">
        <f t="shared" si="154"/>
        <v>0</v>
      </c>
      <c r="K239" s="8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728"/>
      <c r="B240" s="729"/>
      <c r="C240" s="729"/>
      <c r="D240" s="554" t="s">
        <v>43</v>
      </c>
      <c r="E240" s="733"/>
      <c r="F240" s="733"/>
      <c r="G240" s="732"/>
      <c r="H240" s="732"/>
      <c r="I240" s="587"/>
      <c r="J240" s="587"/>
      <c r="K240" s="588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728"/>
      <c r="B241" s="729"/>
      <c r="C241" s="729"/>
      <c r="D241" s="729"/>
      <c r="E241" s="555" t="s">
        <v>109</v>
      </c>
      <c r="F241" s="733"/>
      <c r="G241" s="732"/>
      <c r="H241" s="553" t="s">
        <v>35</v>
      </c>
      <c r="I241" s="444">
        <f t="shared" ref="I241:J242" ca="1" si="155">I252+I263</f>
        <v>60</v>
      </c>
      <c r="J241" s="444">
        <f t="shared" si="155"/>
        <v>0</v>
      </c>
      <c r="K241" s="80">
        <f t="shared" ref="K241:K243" ca="1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728"/>
      <c r="B242" s="729"/>
      <c r="C242" s="729"/>
      <c r="D242" s="729"/>
      <c r="E242" s="555" t="s">
        <v>110</v>
      </c>
      <c r="F242" s="733"/>
      <c r="G242" s="732"/>
      <c r="H242" s="553" t="s">
        <v>61</v>
      </c>
      <c r="I242" s="444">
        <f t="shared" ca="1" si="155"/>
        <v>1</v>
      </c>
      <c r="J242" s="444">
        <f t="shared" si="155"/>
        <v>0</v>
      </c>
      <c r="K242" s="80">
        <f t="shared" ca="1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x14ac:dyDescent="0.3">
      <c r="A243" s="734"/>
      <c r="B243" s="735"/>
      <c r="C243" s="736" t="s">
        <v>313</v>
      </c>
      <c r="D243" s="737"/>
      <c r="E243" s="737"/>
      <c r="F243" s="737"/>
      <c r="G243" s="738"/>
      <c r="H243" s="739" t="s">
        <v>35</v>
      </c>
      <c r="I243" s="740">
        <f t="shared" ref="I243:J243" ca="1" si="157">I250</f>
        <v>60</v>
      </c>
      <c r="J243" s="740">
        <f t="shared" si="157"/>
        <v>0</v>
      </c>
      <c r="K243" s="741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x14ac:dyDescent="0.3">
      <c r="A244" s="574"/>
      <c r="B244" s="575"/>
      <c r="C244" s="576" t="s">
        <v>18</v>
      </c>
      <c r="D244" s="577" t="s">
        <v>19</v>
      </c>
      <c r="E244" s="575"/>
      <c r="F244" s="575"/>
      <c r="G244" s="578"/>
      <c r="H244" s="742" t="s">
        <v>14</v>
      </c>
      <c r="I244" s="595"/>
      <c r="J244" s="595"/>
      <c r="K244" s="596"/>
      <c r="L244" s="514">
        <f ca="1">L245+L246+L247+L248</f>
        <v>367900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x14ac:dyDescent="0.25">
      <c r="A245" s="574"/>
      <c r="B245" s="658"/>
      <c r="C245" s="575"/>
      <c r="D245" s="589" t="s">
        <v>311</v>
      </c>
      <c r="E245" s="575"/>
      <c r="F245" s="575"/>
      <c r="G245" s="578"/>
      <c r="H245" s="594" t="s">
        <v>14</v>
      </c>
      <c r="I245" s="595"/>
      <c r="J245" s="595"/>
      <c r="K245" s="596"/>
      <c r="L245" s="481">
        <f ca="1">IFERROR(__xludf.DUMMYFUNCTION("IMPORTRANGE(""https://docs.google.com/spreadsheets/d/1eHaY18a8A9IcSdp1K8H6x8fbOy06t2VsZHhMHf-1x7Y/edit?usp=sharing"",""แผน!AX16"")"),205400)</f>
        <v>205400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x14ac:dyDescent="0.25">
      <c r="A246" s="743"/>
      <c r="B246" s="658"/>
      <c r="C246" s="658"/>
      <c r="D246" s="589" t="s">
        <v>87</v>
      </c>
      <c r="E246" s="575"/>
      <c r="F246" s="575"/>
      <c r="G246" s="578"/>
      <c r="H246" s="594" t="s">
        <v>14</v>
      </c>
      <c r="I246" s="580"/>
      <c r="J246" s="580"/>
      <c r="K246" s="581"/>
      <c r="L246" s="481">
        <f ca="1">IFERROR(__xludf.DUMMYFUNCTION("IMPORTRANGE(""https://docs.google.com/spreadsheets/d/1eHaY18a8A9IcSdp1K8H6x8fbOy06t2VsZHhMHf-1x7Y/edit?usp=sharing"",""แผน!AY16"")"),5000)</f>
        <v>5000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x14ac:dyDescent="0.25">
      <c r="A247" s="743"/>
      <c r="B247" s="658"/>
      <c r="C247" s="658"/>
      <c r="D247" s="589" t="s">
        <v>88</v>
      </c>
      <c r="E247" s="575"/>
      <c r="F247" s="575"/>
      <c r="G247" s="578"/>
      <c r="H247" s="594" t="s">
        <v>14</v>
      </c>
      <c r="I247" s="580"/>
      <c r="J247" s="580"/>
      <c r="K247" s="581"/>
      <c r="L247" s="481">
        <f ca="1">IFERROR(__xludf.DUMMYFUNCTION("IMPORTRANGE(""https://docs.google.com/spreadsheets/d/1eHaY18a8A9IcSdp1K8H6x8fbOy06t2VsZHhMHf-1x7Y/edit?usp=sharing"",""แผน!AZ16"")"),80500)</f>
        <v>80500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x14ac:dyDescent="0.25">
      <c r="A248" s="743"/>
      <c r="B248" s="658"/>
      <c r="C248" s="658"/>
      <c r="D248" s="589" t="s">
        <v>89</v>
      </c>
      <c r="E248" s="575"/>
      <c r="F248" s="575"/>
      <c r="G248" s="578"/>
      <c r="H248" s="594" t="s">
        <v>14</v>
      </c>
      <c r="I248" s="580"/>
      <c r="J248" s="580"/>
      <c r="K248" s="581"/>
      <c r="L248" s="481">
        <f ca="1">IFERROR(__xludf.DUMMYFUNCTION("IMPORTRANGE(""https://docs.google.com/spreadsheets/d/1eHaY18a8A9IcSdp1K8H6x8fbOy06t2VsZHhMHf-1x7Y/edit?usp=sharing"",""แผน!BA16"")"),77000)</f>
        <v>77000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x14ac:dyDescent="0.3">
      <c r="A249" s="600"/>
      <c r="B249" s="601"/>
      <c r="C249" s="744" t="s">
        <v>18</v>
      </c>
      <c r="D249" s="602" t="s">
        <v>38</v>
      </c>
      <c r="E249" s="567"/>
      <c r="F249" s="567"/>
      <c r="G249" s="568"/>
      <c r="H249" s="603"/>
      <c r="I249" s="595"/>
      <c r="J249" s="580"/>
      <c r="K249" s="581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x14ac:dyDescent="0.25">
      <c r="A250" s="600"/>
      <c r="B250" s="601"/>
      <c r="C250" s="601"/>
      <c r="D250" s="709" t="s">
        <v>108</v>
      </c>
      <c r="E250" s="707"/>
      <c r="F250" s="707"/>
      <c r="G250" s="603"/>
      <c r="H250" s="745" t="s">
        <v>35</v>
      </c>
      <c r="I250" s="661">
        <f ca="1">IFERROR(__xludf.DUMMYFUNCTION("IMPORTRANGE(""https://docs.google.com/spreadsheets/d/1eHaY18a8A9IcSdp1K8H6x8fbOy06t2VsZHhMHf-1x7Y/edit?usp=sharing"",""แผน!BG16"")"),60)</f>
        <v>60</v>
      </c>
      <c r="J250" s="705">
        <v>0</v>
      </c>
      <c r="K250" s="592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x14ac:dyDescent="0.25">
      <c r="A251" s="600"/>
      <c r="B251" s="601"/>
      <c r="C251" s="601"/>
      <c r="D251" s="746" t="s">
        <v>43</v>
      </c>
      <c r="E251" s="707"/>
      <c r="F251" s="707"/>
      <c r="G251" s="603"/>
      <c r="H251" s="603"/>
      <c r="I251" s="580"/>
      <c r="J251" s="580"/>
      <c r="K251" s="581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x14ac:dyDescent="0.25">
      <c r="A252" s="600"/>
      <c r="B252" s="601"/>
      <c r="C252" s="601"/>
      <c r="D252" s="601"/>
      <c r="E252" s="747" t="s">
        <v>109</v>
      </c>
      <c r="F252" s="707"/>
      <c r="G252" s="603"/>
      <c r="H252" s="745" t="s">
        <v>35</v>
      </c>
      <c r="I252" s="661">
        <f ca="1">IFERROR(__xludf.DUMMYFUNCTION("IMPORTRANGE(""https://docs.google.com/spreadsheets/d/1eHaY18a8A9IcSdp1K8H6x8fbOy06t2VsZHhMHf-1x7Y/edit?usp=sharing"",""แผน!KN16"")"),60)</f>
        <v>60</v>
      </c>
      <c r="J252" s="705">
        <v>0</v>
      </c>
      <c r="K252" s="592">
        <f t="shared" ref="K252:K254" ca="1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x14ac:dyDescent="0.25">
      <c r="A253" s="600"/>
      <c r="B253" s="601"/>
      <c r="C253" s="601"/>
      <c r="D253" s="601"/>
      <c r="E253" s="747" t="s">
        <v>110</v>
      </c>
      <c r="F253" s="707"/>
      <c r="G253" s="603"/>
      <c r="H253" s="745" t="s">
        <v>61</v>
      </c>
      <c r="I253" s="661">
        <f ca="1">IFERROR(__xludf.DUMMYFUNCTION("IMPORTRANGE(""https://docs.google.com/spreadsheets/d/1eHaY18a8A9IcSdp1K8H6x8fbOy06t2VsZHhMHf-1x7Y/edit?usp=sharing"",""แผน!KO16"")"),1)</f>
        <v>1</v>
      </c>
      <c r="J253" s="705">
        <v>0</v>
      </c>
      <c r="K253" s="592">
        <f t="shared" ca="1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589" t="s">
        <v>311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IFERROR(__xludf.DUMMYFUNCTION("IMPORTRANGE(""https://docs.google.com/spreadsheets/d/1eHaY18a8A9IcSdp1K8H6x8fbOy06t2VsZHhMHf-1x7Y/edit?usp=sharing"",""แผน!BB16"")"),0)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589" t="s">
        <v>87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IFERROR(__xludf.DUMMYFUNCTION("IMPORTRANGE(""https://docs.google.com/spreadsheets/d/1eHaY18a8A9IcSdp1K8H6x8fbOy06t2VsZHhMHf-1x7Y/edit?usp=sharing"",""แผน!BC16"")"),0)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589" t="s">
        <v>88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IFERROR(__xludf.DUMMYFUNCTION("IMPORTRANGE(""https://docs.google.com/spreadsheets/d/1eHaY18a8A9IcSdp1K8H6x8fbOy06t2VsZHhMHf-1x7Y/edit?usp=sharing"",""แผน!BD16"")"),0)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589" t="s">
        <v>89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IFERROR(__xludf.DUMMYFUNCTION("IMPORTRANGE(""https://docs.google.com/spreadsheets/d/1eHaY18a8A9IcSdp1K8H6x8fbOy06t2VsZHhMHf-1x7Y/edit?usp=sharing"",""แผน!BE16"")"),0)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IFERROR(__xludf.DUMMYFUNCTION("IMPORTRANGE(""https://docs.google.com/spreadsheets/d/1eHaY18a8A9IcSdp1K8H6x8fbOy06t2VsZHhMHf-1x7Y/edit?usp=sharing"",""แผน!BH16"")"),0)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24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53440</v>
      </c>
      <c r="R267" s="583">
        <f t="shared" ca="1" si="165"/>
        <v>53440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53440</v>
      </c>
      <c r="R269" s="592">
        <f t="shared" ca="1" si="169"/>
        <v>53440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53440</v>
      </c>
      <c r="R270" s="592">
        <f t="shared" ca="1" si="171"/>
        <v>53440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IFERROR(__xludf.DUMMYFUNCTION("IMPORTRANGE(""https://docs.google.com/spreadsheets/d/1-uDff_7J0KD5mKrp0Vvzr7lt3OU09vwQwhkpOPPYv2Y/edit?usp=sharing"",""งบพรบ!DE16"")"),0)</f>
        <v>0</v>
      </c>
      <c r="M272" s="592">
        <f ca="1">IFERROR(__xludf.DUMMYFUNCTION("IMPORTRANGE(""https://docs.google.com/spreadsheets/d/1-uDff_7J0KD5mKrp0Vvzr7lt3OU09vwQwhkpOPPYv2Y/edit?usp=sharing"",""งบพรบ!DJ16"")"),5000)</f>
        <v>5000</v>
      </c>
      <c r="N272" s="592">
        <f ca="1">IFERROR(__xludf.DUMMYFUNCTION("IMPORTRANGE(""https://docs.google.com/spreadsheets/d/1-uDff_7J0KD5mKrp0Vvzr7lt3OU09vwQwhkpOPPYv2Y/edit?usp=sharing"",""งบพรบ!DL16"")"),0)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IFERROR(__xludf.DUMMYFUNCTION("IMPORTRANGE(""https://docs.google.com/spreadsheets/d/1ItG2mGa2ceCfYo0BwxsXqNm01IGEUdYcSSLTEv9YCik/edit?usp=sharing"",""เบิกจ่ายกองทุน!AJ16"")"),53440)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IFERROR(__xludf.DUMMYFUNCTION("IMPORTRANGE(""https://docs.google.com/spreadsheets/d/1ItG2mGa2ceCfYo0BwxsXqNm01IGEUdYcSSLTEv9YCik/edit?usp=sharing"",""เบิกจ่ายกองทุน!AK16"")"),53440)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IFERROR(__xludf.DUMMYFUNCTION("IMPORTRANGE(""https://docs.google.com/spreadsheets/d/1ItG2mGa2ceCfYo0BwxsXqNm01IGEUdYcSSLTEv9YCik/edit?usp=sharing"",""เบิกจ่ายกองทุน!AL16"")"),0)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IFERROR(__xludf.DUMMYFUNCTION("IMPORTRANGE(""https://docs.google.com/spreadsheets/d/1-uDff_7J0KD5mKrp0Vvzr7lt3OU09vwQwhkpOPPYv2Y/edit?usp=sharing"",""งบพรบ!DH16"")"),0)</f>
        <v>0</v>
      </c>
      <c r="M275" s="592">
        <f ca="1">IFERROR(__xludf.DUMMYFUNCTION("IMPORTRANGE(""https://docs.google.com/spreadsheets/d/1-uDff_7J0KD5mKrp0Vvzr7lt3OU09vwQwhkpOPPYv2Y/edit?usp=sharing"",""งบพรบ!DK16"")"),0)</f>
        <v>0</v>
      </c>
      <c r="N275" s="592">
        <f ca="1">IFERROR(__xludf.DUMMYFUNCTION("IMPORTRANGE(""https://docs.google.com/spreadsheets/d/1-uDff_7J0KD5mKrp0Vvzr7lt3OU09vwQwhkpOPPYv2Y/edit?usp=sharing"",""งบพรบ!DM16"")"),0)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IFERROR(__xludf.DUMMYFUNCTION("IMPORTRANGE(""https://docs.google.com/spreadsheets/d/1eHaY18a8A9IcSdp1K8H6x8fbOy06t2VsZHhMHf-1x7Y/edit?usp=sharing"",""แผน!EC16"")"),24)</f>
        <v>24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20</v>
      </c>
      <c r="J281" s="619">
        <f t="shared" si="174"/>
        <v>20</v>
      </c>
      <c r="K281" s="620">
        <f t="shared" ref="K281:K282" ca="1" si="175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200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71120</v>
      </c>
      <c r="M283" s="515">
        <f t="shared" ca="1" si="177"/>
        <v>71120</v>
      </c>
      <c r="N283" s="515">
        <f t="shared" ca="1" si="177"/>
        <v>49340</v>
      </c>
      <c r="O283" s="515">
        <f t="shared" ref="O283:O291" ca="1" si="178">IF(L283&gt;0,N283*100/L283,0)</f>
        <v>69.37570303712036</v>
      </c>
      <c r="P283" s="515">
        <f t="shared" ref="P283:P291" ca="1" si="179">IF(M283&gt;0,N283*100/M283,0)</f>
        <v>69.37570303712036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71120</v>
      </c>
      <c r="M285" s="230">
        <f t="shared" ca="1" si="183"/>
        <v>71120</v>
      </c>
      <c r="N285" s="230">
        <f t="shared" ca="1" si="183"/>
        <v>49340</v>
      </c>
      <c r="O285" s="230">
        <f t="shared" ca="1" si="178"/>
        <v>69.37570303712036</v>
      </c>
      <c r="P285" s="230">
        <f t="shared" ca="1" si="179"/>
        <v>69.37570303712036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71120</v>
      </c>
      <c r="M286" s="230">
        <f t="shared" ca="1" si="185"/>
        <v>71120</v>
      </c>
      <c r="N286" s="230">
        <f t="shared" ca="1" si="185"/>
        <v>49340</v>
      </c>
      <c r="O286" s="230">
        <f t="shared" ca="1" si="178"/>
        <v>69.37570303712036</v>
      </c>
      <c r="P286" s="230">
        <f t="shared" ca="1" si="179"/>
        <v>69.37570303712036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IFERROR(__xludf.DUMMYFUNCTION("IMPORTRANGE(""https://docs.google.com/spreadsheets/d/1-uDff_7J0KD5mKrp0Vvzr7lt3OU09vwQwhkpOPPYv2Y/edit?usp=sharing"",""งบพรบ!DO16"")"),71120)</f>
        <v>71120</v>
      </c>
      <c r="M288" s="230">
        <f ca="1">IFERROR(__xludf.DUMMYFUNCTION("IMPORTRANGE(""https://docs.google.com/spreadsheets/d/1-uDff_7J0KD5mKrp0Vvzr7lt3OU09vwQwhkpOPPYv2Y/edit?usp=sharing"",""งบพรบ!DT16"")"),71120)</f>
        <v>71120</v>
      </c>
      <c r="N288" s="230">
        <f ca="1">IFERROR(__xludf.DUMMYFUNCTION("IMPORTRANGE(""https://docs.google.com/spreadsheets/d/1-uDff_7J0KD5mKrp0Vvzr7lt3OU09vwQwhkpOPPYv2Y/edit?usp=sharing"",""งบพรบ!DV16"")"),49340)</f>
        <v>49340</v>
      </c>
      <c r="O288" s="230">
        <f t="shared" ca="1" si="178"/>
        <v>69.37570303712036</v>
      </c>
      <c r="P288" s="230">
        <f t="shared" ca="1" si="179"/>
        <v>69.37570303712036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IFERROR(__xludf.DUMMYFUNCTION("IMPORTRANGE(""https://docs.google.com/spreadsheets/d/1-uDff_7J0KD5mKrp0Vvzr7lt3OU09vwQwhkpOPPYv2Y/edit?usp=sharing"",""งบพรบ!DR16"")"),0)</f>
        <v>0</v>
      </c>
      <c r="M291" s="230">
        <f ca="1">IFERROR(__xludf.DUMMYFUNCTION("IMPORTRANGE(""https://docs.google.com/spreadsheets/d/1-uDff_7J0KD5mKrp0Vvzr7lt3OU09vwQwhkpOPPYv2Y/edit?usp=sharing"",""งบพรบ!DU16"")"),0)</f>
        <v>0</v>
      </c>
      <c r="N291" s="230">
        <f ca="1">IFERROR(__xludf.DUMMYFUNCTION("IMPORTRANGE(""https://docs.google.com/spreadsheets/d/1-uDff_7J0KD5mKrp0Vvzr7lt3OU09vwQwhkpOPPYv2Y/edit?usp=sharing"",""งบพรบ!DW16"")"),0)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IFERROR(__xludf.DUMMYFUNCTION("IMPORTRANGE(""https://docs.google.com/spreadsheets/d/1eHaY18a8A9IcSdp1K8H6x8fbOy06t2VsZHhMHf-1x7Y/edit?usp=sharing"",""แผน!EE16"")"),200)</f>
        <v>200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IFERROR(__xludf.DUMMYFUNCTION("IMPORTRANGE(""https://docs.google.com/spreadsheets/d/1eHaY18a8A9IcSdp1K8H6x8fbOy06t2VsZHhMHf-1x7Y/edit?usp=sharing"",""แผน!ED16"")"),20)</f>
        <v>20</v>
      </c>
      <c r="J294" s="340">
        <f>J297</f>
        <v>20</v>
      </c>
      <c r="K294" s="518">
        <f t="shared" ca="1" si="189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IFERROR(__xludf.DUMMYFUNCTION("IMPORTRANGE(""https://docs.google.com/spreadsheets/d/1eHaY18a8A9IcSdp1K8H6x8fbOy06t2VsZHhMHf-1x7Y/edit?usp=sharing"",""แผน!ED16"")"),20)</f>
        <v>20</v>
      </c>
      <c r="J296" s="520">
        <v>20</v>
      </c>
      <c r="K296" s="521">
        <f t="shared" ref="K296:K297" ca="1" si="190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IFERROR(__xludf.DUMMYFUNCTION("IMPORTRANGE(""https://docs.google.com/spreadsheets/d/1eHaY18a8A9IcSdp1K8H6x8fbOy06t2VsZHhMHf-1x7Y/edit?usp=sharing"",""แผน!ED16"")"),20)</f>
        <v>20</v>
      </c>
      <c r="J297" s="520">
        <v>20</v>
      </c>
      <c r="K297" s="521">
        <f t="shared" ca="1" si="190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20</v>
      </c>
      <c r="J303" s="623">
        <f t="shared" si="191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235700</v>
      </c>
      <c r="M304" s="515">
        <f t="shared" ca="1" si="192"/>
        <v>235700</v>
      </c>
      <c r="N304" s="515">
        <f t="shared" ca="1" si="192"/>
        <v>151065.32</v>
      </c>
      <c r="O304" s="515">
        <f t="shared" ref="O304:O312" ca="1" si="193">IF(L304&gt;0,N304*100/L304,0)</f>
        <v>64.092201951633427</v>
      </c>
      <c r="P304" s="515">
        <f t="shared" ref="P304:P312" ca="1" si="194">IF(M304&gt;0,N304*100/M304,0)</f>
        <v>64.092201951633427</v>
      </c>
      <c r="Q304" s="515">
        <f t="shared" ref="Q304:S304" ca="1" si="195">Q305+Q306</f>
        <v>144609.24</v>
      </c>
      <c r="R304" s="515">
        <f t="shared" ca="1" si="195"/>
        <v>144609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235700</v>
      </c>
      <c r="M306" s="230">
        <f t="shared" ca="1" si="198"/>
        <v>235700</v>
      </c>
      <c r="N306" s="230">
        <f t="shared" ca="1" si="198"/>
        <v>151065.32</v>
      </c>
      <c r="O306" s="230">
        <f t="shared" ca="1" si="193"/>
        <v>64.092201951633427</v>
      </c>
      <c r="P306" s="230">
        <f t="shared" ca="1" si="194"/>
        <v>64.092201951633427</v>
      </c>
      <c r="Q306" s="230">
        <f t="shared" ca="1" si="199"/>
        <v>144609.24</v>
      </c>
      <c r="R306" s="230">
        <f t="shared" ca="1" si="199"/>
        <v>144609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235700</v>
      </c>
      <c r="M307" s="230">
        <f t="shared" ca="1" si="200"/>
        <v>235700</v>
      </c>
      <c r="N307" s="230">
        <f t="shared" ca="1" si="200"/>
        <v>151065.32</v>
      </c>
      <c r="O307" s="230">
        <f t="shared" ca="1" si="193"/>
        <v>64.092201951633427</v>
      </c>
      <c r="P307" s="230">
        <f t="shared" ca="1" si="194"/>
        <v>64.092201951633427</v>
      </c>
      <c r="Q307" s="230">
        <f t="shared" ref="Q307:S307" ca="1" si="201">Q308+Q309</f>
        <v>144609.24</v>
      </c>
      <c r="R307" s="230">
        <f t="shared" ca="1" si="201"/>
        <v>144609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IFERROR(__xludf.DUMMYFUNCTION("IMPORTRANGE(""https://docs.google.com/spreadsheets/d/1-uDff_7J0KD5mKrp0Vvzr7lt3OU09vwQwhkpOPPYv2Y/edit?usp=sharing"",""งบพรบ!DY16"")"),235700)</f>
        <v>235700</v>
      </c>
      <c r="M309" s="230">
        <f ca="1">IFERROR(__xludf.DUMMYFUNCTION("IMPORTRANGE(""https://docs.google.com/spreadsheets/d/1-uDff_7J0KD5mKrp0Vvzr7lt3OU09vwQwhkpOPPYv2Y/edit?usp=sharing"",""งบพรบ!ED16"")"),235700)</f>
        <v>235700</v>
      </c>
      <c r="N309" s="230">
        <f ca="1">IFERROR(__xludf.DUMMYFUNCTION("IMPORTRANGE(""https://docs.google.com/spreadsheets/d/1-uDff_7J0KD5mKrp0Vvzr7lt3OU09vwQwhkpOPPYv2Y/edit?usp=sharing"",""งบพรบ!EF16"")"),151065.32)</f>
        <v>151065.32</v>
      </c>
      <c r="O309" s="230">
        <f t="shared" ca="1" si="193"/>
        <v>64.092201951633427</v>
      </c>
      <c r="P309" s="230">
        <f t="shared" ca="1" si="194"/>
        <v>64.092201951633427</v>
      </c>
      <c r="Q309" s="230">
        <f ca="1">IFERROR(__xludf.DUMMYFUNCTION("IMPORTRANGE(""https://docs.google.com/spreadsheets/d/1ItG2mGa2ceCfYo0BwxsXqNm01IGEUdYcSSLTEv9YCik/edit?usp=sharing"",""เบิกจ่ายกองทุน!AP16"")"),144609.24)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IFERROR(__xludf.DUMMYFUNCTION("IMPORTRANGE(""https://docs.google.com/spreadsheets/d/1ItG2mGa2ceCfYo0BwxsXqNm01IGEUdYcSSLTEv9YCik/edit?usp=sharing"",""เบิกจ่ายกองทุน!AQ16"")"),144609)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IFERROR(__xludf.DUMMYFUNCTION("IMPORTRANGE(""https://docs.google.com/spreadsheets/d/1ItG2mGa2ceCfYo0BwxsXqNm01IGEUdYcSSLTEv9YCik/edit?usp=sharing"",""เบิกจ่ายกองทุน!AR16"")"),0)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IFERROR(__xludf.DUMMYFUNCTION("IMPORTRANGE(""https://docs.google.com/spreadsheets/d/1-uDff_7J0KD5mKrp0Vvzr7lt3OU09vwQwhkpOPPYv2Y/edit?usp=sharing"",""งบพรบ!EB16"")"),0)</f>
        <v>0</v>
      </c>
      <c r="M312" s="230">
        <f ca="1">IFERROR(__xludf.DUMMYFUNCTION("IMPORTRANGE(""https://docs.google.com/spreadsheets/d/1-uDff_7J0KD5mKrp0Vvzr7lt3OU09vwQwhkpOPPYv2Y/edit?usp=sharing"",""งบพรบ!EE16"")"),0)</f>
        <v>0</v>
      </c>
      <c r="N312" s="230">
        <f ca="1">IFERROR(__xludf.DUMMYFUNCTION("IMPORTRANGE(""https://docs.google.com/spreadsheets/d/1-uDff_7J0KD5mKrp0Vvzr7lt3OU09vwQwhkpOPPYv2Y/edit?usp=sharing"",""งบพรบ!EG16"")"),0)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IFERROR(__xludf.DUMMYFUNCTION("IMPORTRANGE(""https://docs.google.com/spreadsheets/d/1eHaY18a8A9IcSdp1K8H6x8fbOy06t2VsZHhMHf-1x7Y/edit?usp=sharing"",""แผน!EF16"")"),20)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IFERROR(__xludf.DUMMYFUNCTION("IMPORTRANGE(""https://docs.google.com/spreadsheets/d/1-uDff_7J0KD5mKrp0Vvzr7lt3OU09vwQwhkpOPPYv2Y/edit?usp=sharing"",""งบพรบ!EI16"")"),0)</f>
        <v>0</v>
      </c>
      <c r="M326" s="230">
        <f ca="1">IFERROR(__xludf.DUMMYFUNCTION("IMPORTRANGE(""https://docs.google.com/spreadsheets/d/1-uDff_7J0KD5mKrp0Vvzr7lt3OU09vwQwhkpOPPYv2Y/edit?usp=sharing"",""งบพรบ!EN16"")"),0)</f>
        <v>0</v>
      </c>
      <c r="N326" s="230">
        <f ca="1">IFERROR(__xludf.DUMMYFUNCTION("IMPORTRANGE(""https://docs.google.com/spreadsheets/d/1-uDff_7J0KD5mKrp0Vvzr7lt3OU09vwQwhkpOPPYv2Y/edit?usp=sharing"",""งบพรบ!EP16"")"),0)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IFERROR(__xludf.DUMMYFUNCTION("IMPORTRANGE(""https://docs.google.com/spreadsheets/d/1-uDff_7J0KD5mKrp0Vvzr7lt3OU09vwQwhkpOPPYv2Y/edit?usp=sharing"",""งบพรบ!EL16"")"),0)</f>
        <v>0</v>
      </c>
      <c r="M329" s="230">
        <f ca="1">IFERROR(__xludf.DUMMYFUNCTION("IMPORTRANGE(""https://docs.google.com/spreadsheets/d/1-uDff_7J0KD5mKrp0Vvzr7lt3OU09vwQwhkpOPPYv2Y/edit?usp=sharing"",""งบพรบ!EO16"")"),0)</f>
        <v>0</v>
      </c>
      <c r="N329" s="230">
        <f ca="1">IFERROR(__xludf.DUMMYFUNCTION("IMPORTRANGE(""https://docs.google.com/spreadsheets/d/1-uDff_7J0KD5mKrp0Vvzr7lt3OU09vwQwhkpOPPYv2Y/edit?usp=sharing"",""งบพรบ!EQ16"")"),0)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IFERROR(__xludf.DUMMYFUNCTION("IMPORTRANGE(""https://docs.google.com/spreadsheets/d/1eHaY18a8A9IcSdp1K8H6x8fbOy06t2VsZHhMHf-1x7Y/edit?usp=sharing"",""แผน!EJ16"")"),0)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600</v>
      </c>
      <c r="J333" s="635">
        <f ca="1">J345+J348+J349+J350+J354</f>
        <v>4225</v>
      </c>
      <c r="K333" s="636">
        <f ca="1">IF(I333&gt;0,J333*100/I333,0)</f>
        <v>704.16666666666663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103000</v>
      </c>
      <c r="M334" s="515">
        <f t="shared" ca="1" si="217"/>
        <v>108000</v>
      </c>
      <c r="N334" s="515">
        <f t="shared" ca="1" si="217"/>
        <v>75917</v>
      </c>
      <c r="O334" s="515">
        <f t="shared" ref="O334:O342" ca="1" si="218">IF(L334&gt;0,N334*100/L334,0)</f>
        <v>73.705825242718447</v>
      </c>
      <c r="P334" s="515">
        <f t="shared" ref="P334:P342" ca="1" si="219">IF(M334&gt;0,N334*100/M334,0)</f>
        <v>70.293518518518525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103000</v>
      </c>
      <c r="M336" s="230">
        <f t="shared" ca="1" si="223"/>
        <v>108000</v>
      </c>
      <c r="N336" s="230">
        <f t="shared" ca="1" si="223"/>
        <v>75917</v>
      </c>
      <c r="O336" s="230">
        <f t="shared" ca="1" si="218"/>
        <v>73.705825242718447</v>
      </c>
      <c r="P336" s="230">
        <f t="shared" ca="1" si="219"/>
        <v>70.293518518518525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103000</v>
      </c>
      <c r="M337" s="230">
        <f t="shared" ca="1" si="225"/>
        <v>108000</v>
      </c>
      <c r="N337" s="230">
        <f t="shared" ca="1" si="225"/>
        <v>75917</v>
      </c>
      <c r="O337" s="230">
        <f t="shared" ca="1" si="218"/>
        <v>73.705825242718447</v>
      </c>
      <c r="P337" s="230">
        <f t="shared" ca="1" si="219"/>
        <v>70.293518518518525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IFERROR(__xludf.DUMMYFUNCTION("IMPORTRANGE(""https://docs.google.com/spreadsheets/d/1-uDff_7J0KD5mKrp0Vvzr7lt3OU09vwQwhkpOPPYv2Y/edit?usp=sharing"",""งบพรบ!ES16"")"),103000)</f>
        <v>103000</v>
      </c>
      <c r="M339" s="230">
        <f ca="1">IFERROR(__xludf.DUMMYFUNCTION("IMPORTRANGE(""https://docs.google.com/spreadsheets/d/1-uDff_7J0KD5mKrp0Vvzr7lt3OU09vwQwhkpOPPYv2Y/edit?usp=sharing"",""งบพรบ!EX16"")"),108000)</f>
        <v>108000</v>
      </c>
      <c r="N339" s="230">
        <f ca="1">IFERROR(__xludf.DUMMYFUNCTION("IMPORTRANGE(""https://docs.google.com/spreadsheets/d/1-uDff_7J0KD5mKrp0Vvzr7lt3OU09vwQwhkpOPPYv2Y/edit?usp=sharing"",""งบพรบ!EZ16"")"),75917)</f>
        <v>75917</v>
      </c>
      <c r="O339" s="230">
        <f t="shared" ca="1" si="218"/>
        <v>73.705825242718447</v>
      </c>
      <c r="P339" s="230">
        <f t="shared" ca="1" si="219"/>
        <v>70.293518518518525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IFERROR(__xludf.DUMMYFUNCTION("IMPORTRANGE(""https://docs.google.com/spreadsheets/d/1-uDff_7J0KD5mKrp0Vvzr7lt3OU09vwQwhkpOPPYv2Y/edit?usp=sharing"",""งบพรบ!EV16"")"),0)</f>
        <v>0</v>
      </c>
      <c r="M342" s="230">
        <f ca="1">IFERROR(__xludf.DUMMYFUNCTION("IMPORTRANGE(""https://docs.google.com/spreadsheets/d/1-uDff_7J0KD5mKrp0Vvzr7lt3OU09vwQwhkpOPPYv2Y/edit?usp=sharing"",""งบพรบ!EY16"")"),0)</f>
        <v>0</v>
      </c>
      <c r="N342" s="230">
        <f ca="1">IFERROR(__xludf.DUMMYFUNCTION("IMPORTRANGE(""https://docs.google.com/spreadsheets/d/1-uDff_7J0KD5mKrp0Vvzr7lt3OU09vwQwhkpOPPYv2Y/edit?usp=sharing"",""งบพรบ!FA16"")"),0)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1107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IFERROR(__xludf.DUMMYFUNCTION("IMPORTRANGE(""https://docs.google.com/spreadsheets/d/1eHaY18a8A9IcSdp1K8H6x8fbOy06t2VsZHhMHf-1x7Y/edit?usp=sharing"",""แผน!EK16"")"),600)</f>
        <v>600</v>
      </c>
      <c r="J345" s="189">
        <f ca="1">IFERROR(__xludf.DUMMYFUNCTION("IMPORTRANGE(""https://docs.google.com/spreadsheets/d/1awYsYK3VOup2i3Pq_Yjnu8DRu_mYwSBnCR2QPthd0rU/edit?usp=sharing"",""ศูนย์ยกเว้นโฉนด!D16"")"),961)</f>
        <v>961</v>
      </c>
      <c r="K345" s="230">
        <f ca="1">IF(I345&gt;0,J345*100/I345,0)</f>
        <v>160.16666666666666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IFERROR(__xludf.DUMMYFUNCTION("IMPORTRANGE(""https://docs.google.com/spreadsheets/d/1eHaY18a8A9IcSdp1K8H6x8fbOy06t2VsZHhMHf-1x7Y/edit?usp=sharing"",""แผน!EL16"")"),3)</f>
        <v>3</v>
      </c>
      <c r="J347" s="189">
        <f ca="1">IFERROR(__xludf.DUMMYFUNCTION("IMPORTRANGE(""https://docs.google.com/spreadsheets/d/1awYsYK3VOup2i3Pq_Yjnu8DRu_mYwSBnCR2QPthd0rU/edit?usp=sharing"",""ศูนย์รวม!E16"")"),2)</f>
        <v>2</v>
      </c>
      <c r="K347" s="230">
        <f ca="1">IF(I347&gt;0,J347*100/I347,0)</f>
        <v>66.666666666666671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IFERROR(__xludf.DUMMYFUNCTION("IMPORTRANGE(""https://docs.google.com/spreadsheets/d/1awYsYK3VOup2i3Pq_Yjnu8DRu_mYwSBnCR2QPthd0rU/edit?usp=sharing"",""ศูนย์ยกเว้นโฉนด!F16"")"),27)</f>
        <v>27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IFERROR(__xludf.DUMMYFUNCTION("IMPORTRANGE(""https://docs.google.com/spreadsheets/d/1awYsYK3VOup2i3Pq_Yjnu8DRu_mYwSBnCR2QPthd0rU/edit?usp=sharing"",""ศูนย์ยกเว้นโฉนด!G16"")"),119)</f>
        <v>119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IFERROR(__xludf.DUMMYFUNCTION("IMPORTRANGE(""https://docs.google.com/spreadsheets/d/1awYsYK3VOup2i3Pq_Yjnu8DRu_mYwSBnCR2QPthd0rU/edit?usp=sharing"",""ศูนย์ยกเว้นโฉนด!H16"")"),0)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3659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IFERROR(__xludf.DUMMYFUNCTION("IMPORTRANGE(""https://docs.google.com/spreadsheets/d/1awYsYK3VOup2i3Pq_Yjnu8DRu_mYwSBnCR2QPthd0rU/edit?usp=sharing"",""โฉนดM3!G16"")"),541)</f>
        <v>541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IFERROR(__xludf.DUMMYFUNCTION("IMPORTRANGE(""https://docs.google.com/spreadsheets/d/1awYsYK3VOup2i3Pq_Yjnu8DRu_mYwSBnCR2QPthd0rU/edit?usp=sharing"",""โฉนดM3!H16"")"),3118)</f>
        <v>3118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352735</v>
      </c>
      <c r="M357" s="515">
        <f t="shared" ca="1" si="229"/>
        <v>362655</v>
      </c>
      <c r="N357" s="515">
        <f t="shared" ca="1" si="229"/>
        <v>176389.99</v>
      </c>
      <c r="O357" s="515">
        <f t="shared" ref="O357:O365" ca="1" si="230">IF(L357&gt;0,N357*100/L357,0)</f>
        <v>50.006375891249803</v>
      </c>
      <c r="P357" s="515">
        <f t="shared" ref="P357:P365" ca="1" si="231">IF(M357&gt;0,N357*100/M357,0)</f>
        <v>48.638510430023025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352735</v>
      </c>
      <c r="M359" s="230">
        <f t="shared" ca="1" si="235"/>
        <v>362655</v>
      </c>
      <c r="N359" s="230">
        <f t="shared" ca="1" si="235"/>
        <v>176389.99</v>
      </c>
      <c r="O359" s="230">
        <f t="shared" ca="1" si="230"/>
        <v>50.006375891249803</v>
      </c>
      <c r="P359" s="230">
        <f t="shared" ca="1" si="231"/>
        <v>48.638510430023025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352735</v>
      </c>
      <c r="M360" s="230">
        <f t="shared" ca="1" si="237"/>
        <v>362655</v>
      </c>
      <c r="N360" s="230">
        <f t="shared" ca="1" si="237"/>
        <v>176389.99</v>
      </c>
      <c r="O360" s="230">
        <f t="shared" ca="1" si="230"/>
        <v>50.006375891249803</v>
      </c>
      <c r="P360" s="230">
        <f t="shared" ca="1" si="231"/>
        <v>48.638510430023025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IFERROR(__xludf.DUMMYFUNCTION("IMPORTRANGE(""https://docs.google.com/spreadsheets/d/1-uDff_7J0KD5mKrp0Vvzr7lt3OU09vwQwhkpOPPYv2Y/edit?usp=sharing"",""งบพรบ!FC16"")"),352735)</f>
        <v>352735</v>
      </c>
      <c r="M362" s="230">
        <f ca="1">IFERROR(__xludf.DUMMYFUNCTION("IMPORTRANGE(""https://docs.google.com/spreadsheets/d/1-uDff_7J0KD5mKrp0Vvzr7lt3OU09vwQwhkpOPPYv2Y/edit?usp=sharing"",""งบพรบ!FH16"")"),362655)</f>
        <v>362655</v>
      </c>
      <c r="N362" s="230">
        <f ca="1">IFERROR(__xludf.DUMMYFUNCTION("IMPORTRANGE(""https://docs.google.com/spreadsheets/d/1-uDff_7J0KD5mKrp0Vvzr7lt3OU09vwQwhkpOPPYv2Y/edit?usp=sharing"",""งบพรบ!FJ16"")"),176389.99)</f>
        <v>176389.99</v>
      </c>
      <c r="O362" s="230">
        <f t="shared" ca="1" si="230"/>
        <v>50.006375891249803</v>
      </c>
      <c r="P362" s="230">
        <f t="shared" ca="1" si="231"/>
        <v>48.638510430023025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IFERROR(__xludf.DUMMYFUNCTION("IMPORTRANGE(""https://docs.google.com/spreadsheets/d/1-uDff_7J0KD5mKrp0Vvzr7lt3OU09vwQwhkpOPPYv2Y/edit?usp=sharing"",""งบพรบ!FF16"")"),0)</f>
        <v>0</v>
      </c>
      <c r="M365" s="230">
        <f ca="1">IFERROR(__xludf.DUMMYFUNCTION("IMPORTRANGE(""https://docs.google.com/spreadsheets/d/1-uDff_7J0KD5mKrp0Vvzr7lt3OU09vwQwhkpOPPYv2Y/edit?usp=sharing"",""งบพรบ!FI16"")"),0)</f>
        <v>0</v>
      </c>
      <c r="N365" s="230">
        <f ca="1">IFERROR(__xludf.DUMMYFUNCTION("IMPORTRANGE(""https://docs.google.com/spreadsheets/d/1-uDff_7J0KD5mKrp0Vvzr7lt3OU09vwQwhkpOPPYv2Y/edit?usp=sharing"",""งบพรบ!FK16"")"),0)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114</v>
      </c>
      <c r="J366" s="313">
        <f t="shared" ca="1" si="241"/>
        <v>84</v>
      </c>
      <c r="K366" s="314">
        <f ca="1">IF(I366&gt;0,J366*100/I366,0)</f>
        <v>73.684210526315795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IFERROR(__xludf.DUMMYFUNCTION("IMPORTRANGE(""https://docs.google.com/spreadsheets/d/1tdoBKaGub7dwA3U6UFTqxio9LNnvDCQjHKmttSEBsFQ/edit?usp=sharing"",""จัดที่ดิน!AB16"")"),89)</f>
        <v>89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IFERROR(__xludf.DUMMYFUNCTION("IMPORTRANGE(""https://docs.google.com/spreadsheets/d/1eHaY18a8A9IcSdp1K8H6x8fbOy06t2VsZHhMHf-1x7Y/edit?usp=sharing"",""แผน!EW16"")"),905)</f>
        <v>905</v>
      </c>
      <c r="J369" s="646">
        <f ca="1">IFERROR(__xludf.DUMMYFUNCTION("IMPORTRANGE(""https://docs.google.com/spreadsheets/d/1tdoBKaGub7dwA3U6UFTqxio9LNnvDCQjHKmttSEBsFQ/edit?usp=sharing"",""จัดที่ดิน!AC16"")"),311.1)</f>
        <v>311.10000000000002</v>
      </c>
      <c r="K369" s="230">
        <f t="shared" ca="1" si="242"/>
        <v>34.375690607734811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IFERROR(__xludf.DUMMYFUNCTION("IMPORTRANGE(""https://docs.google.com/spreadsheets/d/1eHaY18a8A9IcSdp1K8H6x8fbOy06t2VsZHhMHf-1x7Y/edit?usp=sharing"",""แผน!EX16"")"),131)</f>
        <v>131</v>
      </c>
      <c r="J370" s="189">
        <f ca="1">IFERROR(__xludf.DUMMYFUNCTION("IMPORTRANGE(""https://docs.google.com/spreadsheets/d/1tdoBKaGub7dwA3U6UFTqxio9LNnvDCQjHKmttSEBsFQ/edit?usp=sharing"",""จัดที่ดิน!AD16"")"),183)</f>
        <v>183</v>
      </c>
      <c r="K370" s="230">
        <f t="shared" ca="1" si="242"/>
        <v>139.69465648854961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IFERROR(__xludf.DUMMYFUNCTION("IMPORTRANGE(""https://docs.google.com/spreadsheets/d/1tdoBKaGub7dwA3U6UFTqxio9LNnvDCQjHKmttSEBsFQ/edit?usp=sharing"",""จัดที่ดิน!AE16"")"),987.98)</f>
        <v>987.98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IFERROR(__xludf.DUMMYFUNCTION("IMPORTRANGE(""https://docs.google.com/spreadsheets/d/1eHaY18a8A9IcSdp1K8H6x8fbOy06t2VsZHhMHf-1x7Y/edit?usp=sharing"",""แผน!EY16"")"),114)</f>
        <v>114</v>
      </c>
      <c r="J372" s="189">
        <f ca="1">IFERROR(__xludf.DUMMYFUNCTION("IMPORTRANGE(""https://docs.google.com/spreadsheets/d/1tdoBKaGub7dwA3U6UFTqxio9LNnvDCQjHKmttSEBsFQ/edit?usp=sharing"",""จัดที่ดิน!AF16"")"),84)</f>
        <v>84</v>
      </c>
      <c r="K372" s="230">
        <f t="shared" ca="1" si="242"/>
        <v>73.684210526315795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IFERROR(__xludf.DUMMYFUNCTION("IMPORTRANGE(""https://docs.google.com/spreadsheets/d/1tdoBKaGub7dwA3U6UFTqxio9LNnvDCQjHKmttSEBsFQ/edit?usp=sharing"",""จัดที่ดิน!AG16"")"),602.54)</f>
        <v>602.54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748">
        <f t="shared" ref="I375:J375" ca="1" si="243">I387+I389</f>
        <v>2000</v>
      </c>
      <c r="J375" s="654">
        <f t="shared" ca="1" si="243"/>
        <v>195</v>
      </c>
      <c r="K375" s="655">
        <f ca="1">IF(I375&gt;0,J375*100/I375,0)</f>
        <v>9.75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749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125000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749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749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125000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750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125000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750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750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IFERROR(__xludf.DUMMYFUNCTION("IMPORTRANGE(""https://docs.google.com/spreadsheets/d/1ItG2mGa2ceCfYo0BwxsXqNm01IGEUdYcSSLTEv9YCik/edit?usp=sharing"",""เบิกจ่ายกองทุน!AY16"")"),125000)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IFERROR(__xludf.DUMMYFUNCTION("IMPORTRANGE(""https://docs.google.com/spreadsheets/d/1ItG2mGa2ceCfYo0BwxsXqNm01IGEUdYcSSLTEv9YCik/edit?usp=sharing"",""เบิกจ่ายกองทุน!AZ16"")"),0)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IFERROR(__xludf.DUMMYFUNCTION("IMPORTRANGE(""https://docs.google.com/spreadsheets/d/1ItG2mGa2ceCfYo0BwxsXqNm01IGEUdYcSSLTEv9YCik/edit?usp=sharing"",""เบิกจ่ายกองทุน!BA16"")"),0)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750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750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750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750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751">
        <v>0</v>
      </c>
      <c r="J386" s="189">
        <f ca="1">IFERROR(__xludf.DUMMYFUNCTION("IMPORTRANGE(""https://docs.google.com/spreadsheets/d/1w5rwWK1o49a35cNtocGL0gxDwhFSTZUQu90BiH9_zqM/edit?usp=sharing"",""RTK!H16"")"),46)</f>
        <v>46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751">
        <f ca="1">IFERROR(__xludf.DUMMYFUNCTION("IMPORTRANGE(""https://docs.google.com/spreadsheets/d/1w5rwWK1o49a35cNtocGL0gxDwhFSTZUQu90BiH9_zqM/edit?usp=sharing"",""RTK!G16"")"),2000)</f>
        <v>2000</v>
      </c>
      <c r="J387" s="189">
        <f ca="1">IFERROR(__xludf.DUMMYFUNCTION("IMPORTRANGE(""https://docs.google.com/spreadsheets/d/1w5rwWK1o49a35cNtocGL0gxDwhFSTZUQu90BiH9_zqM/edit?usp=sharing"",""RTK!I16"")"),195)</f>
        <v>195</v>
      </c>
      <c r="K387" s="230">
        <f t="shared" ca="1" si="256"/>
        <v>9.75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752">
        <v>0</v>
      </c>
      <c r="J388" s="661">
        <f ca="1">IFERROR(__xludf.DUMMYFUNCTION("IMPORTRANGE(""https://docs.google.com/spreadsheets/d/1w5rwWK1o49a35cNtocGL0gxDwhFSTZUQu90BiH9_zqM/edit?usp=sharing"",""RTK!L16"")"),0)</f>
        <v>0</v>
      </c>
      <c r="K388" s="592">
        <f t="shared" si="256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752">
        <f ca="1">IFERROR(__xludf.DUMMYFUNCTION("IMPORTRANGE(""https://docs.google.com/spreadsheets/d/1w5rwWK1o49a35cNtocGL0gxDwhFSTZUQu90BiH9_zqM/edit?usp=sharing"",""RTK!K16"")"),0)</f>
        <v>0</v>
      </c>
      <c r="J389" s="661">
        <f ca="1">IFERROR(__xludf.DUMMYFUNCTION("IMPORTRANGE(""https://docs.google.com/spreadsheets/d/1w5rwWK1o49a35cNtocGL0gxDwhFSTZUQu90BiH9_zqM/edit?usp=sharing"",""RTK!M16"")"),0)</f>
        <v>0</v>
      </c>
      <c r="K389" s="592">
        <f t="shared" ca="1" si="256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753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754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IFERROR(__xludf.DUMMYFUNCTION("IMPORTRANGE(""https://docs.google.com/spreadsheets/d/1ItG2mGa2ceCfYo0BwxsXqNm01IGEUdYcSSLTEv9YCik/edit?usp=sharing"",""เบิกจ่ายกองทุน!BH16"")"),0)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IFERROR(__xludf.DUMMYFUNCTION("IMPORTRANGE(""https://docs.google.com/spreadsheets/d/1ItG2mGa2ceCfYo0BwxsXqNm01IGEUdYcSSLTEv9YCik/edit?usp=sharing"",""เบิกจ่ายกองทุน!BI16"")"),0)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IFERROR(__xludf.DUMMYFUNCTION("IMPORTRANGE(""https://docs.google.com/spreadsheets/d/1ItG2mGa2ceCfYo0BwxsXqNm01IGEUdYcSSLTEv9YCik/edit?usp=sharing"",""เบิกจ่ายกองทุน!BJ16"")"),0)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IFERROR(__xludf.DUMMYFUNCTION("IMPORTRANGE(""https://docs.google.com/spreadsheets/d/1eHaY18a8A9IcSdp1K8H6x8fbOy06t2VsZHhMHf-1x7Y/edit?usp=sharing"",""แผน!HJ16"")"),0)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IFERROR(__xludf.DUMMYFUNCTION("IMPORTRANGE(""https://docs.google.com/spreadsheets/d/1eHaY18a8A9IcSdp1K8H6x8fbOy06t2VsZHhMHf-1x7Y/edit?usp=sharing"",""แผน!HK16"")"),0)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IFERROR(__xludf.DUMMYFUNCTION("IMPORTRANGE(""https://docs.google.com/spreadsheets/d/1eHaY18a8A9IcSdp1K8H6x8fbOy06t2VsZHhMHf-1x7Y/edit?usp=sharing"",""แผน!HJ16"")"),0)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IFERROR(__xludf.DUMMYFUNCTION("IMPORTRANGE(""https://docs.google.com/spreadsheets/d/1eHaY18a8A9IcSdp1K8H6x8fbOy06t2VsZHhMHf-1x7Y/edit?usp=sharing"",""แผน!HK16"")"),0)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IFERROR(__xludf.DUMMYFUNCTION("IMPORTRANGE(""https://docs.google.com/spreadsheets/d/1eHaY18a8A9IcSdp1K8H6x8fbOy06t2VsZHhMHf-1x7Y/edit?usp=sharing"",""แผน!HJ16"")"),0)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IFERROR(__xludf.DUMMYFUNCTION("IMPORTRANGE(""https://docs.google.com/spreadsheets/d/1eHaY18a8A9IcSdp1K8H6x8fbOy06t2VsZHhMHf-1x7Y/edit?usp=sharing"",""แผน!HK16"")"),0)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IFERROR(__xludf.DUMMYFUNCTION("IMPORTRANGE(""https://docs.google.com/spreadsheets/d/1eHaY18a8A9IcSdp1K8H6x8fbOy06t2VsZHhMHf-1x7Y/edit?usp=sharing"",""แผน!HL16"")"),0)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IFERROR(__xludf.DUMMYFUNCTION("IMPORTRANGE(""https://docs.google.com/spreadsheets/d/1eHaY18a8A9IcSdp1K8H6x8fbOy06t2VsZHhMHf-1x7Y/edit?usp=sharing"",""แผน!HM16"")"),0)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IFERROR(__xludf.DUMMYFUNCTION("IMPORTRANGE(""https://docs.google.com/spreadsheets/d/1eHaY18a8A9IcSdp1K8H6x8fbOy06t2VsZHhMHf-1x7Y/edit?usp=sharing"",""แผน!HN16"")"),0)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IFERROR(__xludf.DUMMYFUNCTION("IMPORTRANGE(""https://docs.google.com/spreadsheets/d/1eHaY18a8A9IcSdp1K8H6x8fbOy06t2VsZHhMHf-1x7Y/edit?usp=sharing"",""แผน!HO16"")"),0)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IFERROR(__xludf.DUMMYFUNCTION("IMPORTRANGE(""https://docs.google.com/spreadsheets/d/1ItG2mGa2ceCfYo0BwxsXqNm01IGEUdYcSSLTEv9YCik/edit?usp=sharing"",""เบิกจ่ายกองทุน!X16"")"),0)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IFERROR(__xludf.DUMMYFUNCTION("IMPORTRANGE(""https://docs.google.com/spreadsheets/d/1ItG2mGa2ceCfYo0BwxsXqNm01IGEUdYcSSLTEv9YCik/edit?usp=sharing"",""เบิกจ่ายกองทุน!Y16"")"),0)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IFERROR(__xludf.DUMMYFUNCTION("IMPORTRANGE(""https://docs.google.com/spreadsheets/d/1ItG2mGa2ceCfYo0BwxsXqNm01IGEUdYcSSLTEv9YCik/edit?usp=sharing"",""เบิกจ่ายกองทุน!Z16"")"),0)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IFERROR(__xludf.DUMMYFUNCTION("IMPORTRANGE(""https://docs.google.com/spreadsheets/d/1eHaY18a8A9IcSdp1K8H6x8fbOy06t2VsZHhMHf-1x7Y/edit?usp=sharing"",""แผน!GX16"")"),0)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IFERROR(__xludf.DUMMYFUNCTION("IMPORTRANGE(""https://docs.google.com/spreadsheets/d/1eHaY18a8A9IcSdp1K8H6x8fbOy06t2VsZHhMHf-1x7Y/edit?usp=sharing"",""แผน!GY16"")"),0)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IFERROR(__xludf.DUMMYFUNCTION("IMPORTRANGE(""https://docs.google.com/spreadsheets/d/1eHaY18a8A9IcSdp1K8H6x8fbOy06t2VsZHhMHf-1x7Y/edit?usp=sharing"",""แผน!GZ16"")"),0)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IFERROR(__xludf.DUMMYFUNCTION("IMPORTRANGE(""https://docs.google.com/spreadsheets/d/1eHaY18a8A9IcSdp1K8H6x8fbOy06t2VsZHhMHf-1x7Y/edit?usp=sharing"",""แผน!HA16"")"),0)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IFERROR(__xludf.DUMMYFUNCTION("IMPORTRANGE(""https://docs.google.com/spreadsheets/d/1eHaY18a8A9IcSdp1K8H6x8fbOy06t2VsZHhMHf-1x7Y/edit?usp=sharing"",""แผน!HB16"")"),0)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IFERROR(__xludf.DUMMYFUNCTION("IMPORTRANGE(""https://docs.google.com/spreadsheets/d/1eHaY18a8A9IcSdp1K8H6x8fbOy06t2VsZHhMHf-1x7Y/edit?usp=sharing"",""แผน!HC16"")"),0)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IFERROR(__xludf.DUMMYFUNCTION("IMPORTRANGE(""https://docs.google.com/spreadsheets/d/1-uDff_7J0KD5mKrp0Vvzr7lt3OU09vwQwhkpOPPYv2Y/edit?usp=sharing"",""งบพรบ!FM16"")"),0)</f>
        <v>0</v>
      </c>
      <c r="M519" s="230">
        <f ca="1">IFERROR(__xludf.DUMMYFUNCTION("IMPORTRANGE(""https://docs.google.com/spreadsheets/d/1-uDff_7J0KD5mKrp0Vvzr7lt3OU09vwQwhkpOPPYv2Y/edit?usp=sharing"",""งบพรบ!FR16"")"),0)</f>
        <v>0</v>
      </c>
      <c r="N519" s="230">
        <f ca="1">IFERROR(__xludf.DUMMYFUNCTION("IMPORTRANGE(""https://docs.google.com/spreadsheets/d/1-uDff_7J0KD5mKrp0Vvzr7lt3OU09vwQwhkpOPPYv2Y/edit?usp=sharing"",""งบพรบ!FT16"")"),0)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IFERROR(__xludf.DUMMYFUNCTION("IMPORTRANGE(""https://docs.google.com/spreadsheets/d/1-uDff_7J0KD5mKrp0Vvzr7lt3OU09vwQwhkpOPPYv2Y/edit?usp=sharing"",""งบพรบ!FP16"")"),0)</f>
        <v>0</v>
      </c>
      <c r="M522" s="230">
        <f ca="1">IFERROR(__xludf.DUMMYFUNCTION("IMPORTRANGE(""https://docs.google.com/spreadsheets/d/1-uDff_7J0KD5mKrp0Vvzr7lt3OU09vwQwhkpOPPYv2Y/edit?usp=sharing"",""งบพรบ!FS16"")"),0)</f>
        <v>0</v>
      </c>
      <c r="N522" s="230">
        <f ca="1">IFERROR(__xludf.DUMMYFUNCTION("IMPORTRANGE(""https://docs.google.com/spreadsheets/d/1-uDff_7J0KD5mKrp0Vvzr7lt3OU09vwQwhkpOPPYv2Y/edit?usp=sharing"",""งบพรบ!FU16"")"),0)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1625</v>
      </c>
      <c r="R617" s="515">
        <f t="shared" ca="1" si="384"/>
        <v>1625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1625</v>
      </c>
      <c r="R619" s="230">
        <f t="shared" ca="1" si="388"/>
        <v>1625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1625</v>
      </c>
      <c r="R620" s="230">
        <f t="shared" ca="1" si="390"/>
        <v>1625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IFERROR(__xludf.DUMMYFUNCTION("IMPORTRANGE(""https://docs.google.com/spreadsheets/d/1ItG2mGa2ceCfYo0BwxsXqNm01IGEUdYcSSLTEv9YCik/edit?usp=sharing"",""เบิกจ่ายกองทุน!F16"")"),1625)</f>
        <v>1625</v>
      </c>
      <c r="R622" s="230">
        <f ca="1">IFERROR(__xludf.DUMMYFUNCTION("IMPORTRANGE(""https://docs.google.com/spreadsheets/d/1ItG2mGa2ceCfYo0BwxsXqNm01IGEUdYcSSLTEv9YCik/edit?usp=sharing"",""เบิกจ่ายกองทุน!G16"")"),1625)</f>
        <v>1625</v>
      </c>
      <c r="S622" s="230">
        <f ca="1">IFERROR(__xludf.DUMMYFUNCTION("IMPORTRANGE(""https://docs.google.com/spreadsheets/d/1ItG2mGa2ceCfYo0BwxsXqNm01IGEUdYcSSLTEv9YCik/edit?usp=sharing"",""เบิกจ่ายกองทุน!H16"")"),0)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IFERROR(__xludf.DUMMYFUNCTION("IMPORTRANGE(""https://docs.google.com/spreadsheets/d/1eHaY18a8A9IcSdp1K8H6x8fbOy06t2VsZHhMHf-1x7Y/edit?usp=sharing"",""แผน!ID16"")"),0)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IFERROR(__xludf.DUMMYFUNCTION("IMPORTRANGE(""https://docs.google.com/spreadsheets/d/1eHaY18a8A9IcSdp1K8H6x8fbOy06t2VsZHhMHf-1x7Y/edit?usp=sharing"",""แผน!IC16"")"),0)</f>
        <v>0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IFERROR(__xludf.DUMMYFUNCTION("IMPORTRANGE(""https://docs.google.com/spreadsheets/d/1eHaY18a8A9IcSdp1K8H6x8fbOy06t2VsZHhMHf-1x7Y/edit?usp=sharing"",""แผน!IC16"")"),0)</f>
        <v>0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IFERROR(__xludf.DUMMYFUNCTION("IMPORTRANGE(""https://docs.google.com/spreadsheets/d/1eHaY18a8A9IcSdp1K8H6x8fbOy06t2VsZHhMHf-1x7Y/edit?usp=sharing"",""แผน!IE16"")"),0)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7060</v>
      </c>
      <c r="R643" s="515">
        <f t="shared" ca="1" si="398"/>
        <v>7060</v>
      </c>
      <c r="S643" s="515">
        <f t="shared" ca="1" si="398"/>
        <v>2680</v>
      </c>
      <c r="T643" s="515">
        <f t="shared" ref="T643:T651" ca="1" si="399">IF(Q643&gt;0,S643*100/Q643,0)</f>
        <v>37.960339943342774</v>
      </c>
      <c r="U643" s="515">
        <f t="shared" ref="U643:U651" ca="1" si="400">IF(R643&gt;0,S643*100/R643,0)</f>
        <v>37.960339943342774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7060</v>
      </c>
      <c r="R645" s="230">
        <f t="shared" ca="1" si="402"/>
        <v>7060</v>
      </c>
      <c r="S645" s="230">
        <f t="shared" ca="1" si="402"/>
        <v>2680</v>
      </c>
      <c r="T645" s="230">
        <f t="shared" ca="1" si="399"/>
        <v>37.960339943342774</v>
      </c>
      <c r="U645" s="230">
        <f t="shared" ca="1" si="400"/>
        <v>37.960339943342774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7060</v>
      </c>
      <c r="R646" s="230">
        <f t="shared" ca="1" si="404"/>
        <v>7060</v>
      </c>
      <c r="S646" s="230">
        <f t="shared" ca="1" si="404"/>
        <v>2680</v>
      </c>
      <c r="T646" s="230">
        <f t="shared" ca="1" si="399"/>
        <v>37.960339943342774</v>
      </c>
      <c r="U646" s="230">
        <f t="shared" ca="1" si="400"/>
        <v>37.960339943342774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IFERROR(__xludf.DUMMYFUNCTION("IMPORTRANGE(""https://docs.google.com/spreadsheets/d/1ItG2mGa2ceCfYo0BwxsXqNm01IGEUdYcSSLTEv9YCik/edit?usp=sharing"",""เบิกจ่ายกองทุน!I16"")"),7060)</f>
        <v>7060</v>
      </c>
      <c r="R648" s="230">
        <f ca="1">IFERROR(__xludf.DUMMYFUNCTION("IMPORTRANGE(""https://docs.google.com/spreadsheets/d/1ItG2mGa2ceCfYo0BwxsXqNm01IGEUdYcSSLTEv9YCik/edit?usp=sharing"",""เบิกจ่ายกองทุน!J16"")"),7060)</f>
        <v>7060</v>
      </c>
      <c r="S648" s="230">
        <f ca="1">IFERROR(__xludf.DUMMYFUNCTION("IMPORTRANGE(""https://docs.google.com/spreadsheets/d/1ItG2mGa2ceCfYo0BwxsXqNm01IGEUdYcSSLTEv9YCik/edit?usp=sharing"",""เบิกจ่ายกองทุน!K16"")"),2680)</f>
        <v>2680</v>
      </c>
      <c r="T648" s="230">
        <f t="shared" ca="1" si="399"/>
        <v>37.960339943342774</v>
      </c>
      <c r="U648" s="230">
        <f t="shared" ca="1" si="400"/>
        <v>37.960339943342774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IFERROR(__xludf.DUMMYFUNCTION("IMPORTRANGE(""https://docs.google.com/spreadsheets/d/1eHaY18a8A9IcSdp1K8H6x8fbOy06t2VsZHhMHf-1x7Y/edit?usp=sharing"",""แผน!IF16"")"),0)</f>
        <v>0</v>
      </c>
      <c r="J653" s="189">
        <f ca="1">IFERROR(__xludf.DUMMYFUNCTION("IMPORTRANGE(""https://docs.google.com/spreadsheets/d/1tdoBKaGub7dwA3U6UFTqxio9LNnvDCQjHKmttSEBsFQ/edit?usp=sharing"",""จัดที่ดิน!AU16"")"),0)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IFERROR(__xludf.DUMMYFUNCTION("IMPORTRANGE(""https://docs.google.com/spreadsheets/d/1eHaY18a8A9IcSdp1K8H6x8fbOy06t2VsZHhMHf-1x7Y/edit?usp=sharing"",""แผน!IG16"")"),43)</f>
        <v>43</v>
      </c>
      <c r="J654" s="189">
        <f ca="1">IFERROR(__xludf.DUMMYFUNCTION("IMPORTRANGE(""https://docs.google.com/spreadsheets/d/1tdoBKaGub7dwA3U6UFTqxio9LNnvDCQjHKmttSEBsFQ/edit?usp=sharing"",""จัดที่ดิน!AW16"")"),0)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IFERROR(__xludf.DUMMYFUNCTION("IMPORTRANGE(""https://docs.google.com/spreadsheets/d/1eHaY18a8A9IcSdp1K8H6x8fbOy06t2VsZHhMHf-1x7Y/edit?usp=sharing"",""แผน!IH16"")"),0)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IFERROR(__xludf.DUMMYFUNCTION("IMPORTRANGE(""https://docs.google.com/spreadsheets/d/1eHaY18a8A9IcSdp1K8H6x8fbOy06t2VsZHhMHf-1x7Y/edit?usp=sharing"",""แผน!II16"")"),0)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IFERROR(__xludf.DUMMYFUNCTION("IMPORTRANGE(""https://docs.google.com/spreadsheets/d/1eHaY18a8A9IcSdp1K8H6x8fbOy06t2VsZHhMHf-1x7Y/edit?usp=sharing"",""แผน!IJ16"")"),0)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IFERROR(__xludf.DUMMYFUNCTION("IMPORTRANGE(""https://docs.google.com/spreadsheets/d/1eHaY18a8A9IcSdp1K8H6x8fbOy06t2VsZHhMHf-1x7Y/edit?usp=sharing"",""แผน!IK16"")"),0)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IFERROR(__xludf.DUMMYFUNCTION("IMPORTRANGE(""https://docs.google.com/spreadsheets/d/1tdoBKaGub7dwA3U6UFTqxio9LNnvDCQjHKmttSEBsFQ/edit?usp=sharing"",""จัดที่ดิน!AY16"")"),0)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IFERROR(__xludf.DUMMYFUNCTION("IMPORTRANGE(""https://docs.google.com/spreadsheets/d/1tdoBKaGub7dwA3U6UFTqxio9LNnvDCQjHKmttSEBsFQ/edit?usp=sharing"",""จัดที่ดิน!AZ16"")"),0)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IFERROR(__xludf.DUMMYFUNCTION("IMPORTRANGE(""https://docs.google.com/spreadsheets/d/1eHaY18a8A9IcSdp1K8H6x8fbOy06t2VsZHhMHf-1x7Y/edit?usp=sharing"",""แผน!IL16"")"),15)</f>
        <v>15</v>
      </c>
      <c r="J674" s="189">
        <f ca="1">IFERROR(__xludf.DUMMYFUNCTION("IMPORTRANGE(""https://docs.google.com/spreadsheets/d/1tdoBKaGub7dwA3U6UFTqxio9LNnvDCQjHKmttSEBsFQ/edit?usp=sharing"",""จัดที่ดิน!BA16"")"),0)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IFERROR(__xludf.DUMMYFUNCTION("IMPORTRANGE(""https://docs.google.com/spreadsheets/d/1eHaY18a8A9IcSdp1K8H6x8fbOy06t2VsZHhMHf-1x7Y/edit?usp=sharing"",""แผน!IM16"")"),0)</f>
        <v>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IFERROR(__xludf.DUMMYFUNCTION("IMPORTRANGE(""https://docs.google.com/spreadsheets/d/1eHaY18a8A9IcSdp1K8H6x8fbOy06t2VsZHhMHf-1x7Y/edit?usp=sharing"",""แผน!IN16"")"),0)</f>
        <v>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IFERROR(__xludf.DUMMYFUNCTION("IMPORTRANGE(""https://docs.google.com/spreadsheets/d/1eHaY18a8A9IcSdp1K8H6x8fbOy06t2VsZHhMHf-1x7Y/edit?usp=sharing"",""แผน!IO16"")"),0)</f>
        <v>0</v>
      </c>
      <c r="J677" s="189">
        <f ca="1">IFERROR(__xludf.DUMMYFUNCTION("IMPORTRANGE(""https://docs.google.com/spreadsheets/d/1tdoBKaGub7dwA3U6UFTqxio9LNnvDCQjHKmttSEBsFQ/edit?usp=sharing"",""จัดที่ดิน!BF16"")"),0)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IFERROR(__xludf.DUMMYFUNCTION("IMPORTRANGE(""https://docs.google.com/spreadsheets/d/1tdoBKaGub7dwA3U6UFTqxio9LNnvDCQjHKmttSEBsFQ/edit?usp=sharing"",""จัดที่ดิน!BG16"")"),0)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IFERROR(__xludf.DUMMYFUNCTION("IMPORTRANGE(""https://docs.google.com/spreadsheets/d/1eHaY18a8A9IcSdp1K8H6x8fbOy06t2VsZHhMHf-1x7Y/edit?usp=sharing"",""แผน!IP16"")"),0)</f>
        <v>0</v>
      </c>
      <c r="J679" s="189">
        <f ca="1">IFERROR(__xludf.DUMMYFUNCTION("IMPORTRANGE(""https://docs.google.com/spreadsheets/d/1tdoBKaGub7dwA3U6UFTqxio9LNnvDCQjHKmttSEBsFQ/edit?usp=sharing"",""จัดที่ดิน!BH16"")"),0)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IFERROR(__xludf.DUMMYFUNCTION("IMPORTRANGE(""https://docs.google.com/spreadsheets/d/1eHaY18a8A9IcSdp1K8H6x8fbOy06t2VsZHhMHf-1x7Y/edit?usp=sharing"",""แผน!IQ16"")"),0)</f>
        <v>0</v>
      </c>
      <c r="J680" s="189">
        <f ca="1">IFERROR(__xludf.DUMMYFUNCTION("IMPORTRANGE(""https://docs.google.com/spreadsheets/d/1tdoBKaGub7dwA3U6UFTqxio9LNnvDCQjHKmttSEBsFQ/edit?usp=sharing"",""จัดที่ดิน!BK16"")"),0)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IFERROR(__xludf.DUMMYFUNCTION("IMPORTRANGE(""https://docs.google.com/spreadsheets/d/1tdoBKaGub7dwA3U6UFTqxio9LNnvDCQjHKmttSEBsFQ/edit?usp=sharing"",""จัดที่ดิน!BL16"")"),0)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IFERROR(__xludf.DUMMYFUNCTION("IMPORTRANGE(""https://docs.google.com/spreadsheets/d/1eHaY18a8A9IcSdp1K8H6x8fbOy06t2VsZHhMHf-1x7Y/edit?usp=sharing"",""แผน!IR16"")"),0)</f>
        <v>0</v>
      </c>
      <c r="J682" s="189">
        <f ca="1">IFERROR(__xludf.DUMMYFUNCTION("IMPORTRANGE(""https://docs.google.com/spreadsheets/d/1tdoBKaGub7dwA3U6UFTqxio9LNnvDCQjHKmttSEBsFQ/edit?usp=sharing"",""จัดที่ดิน!BM16"")"),0)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IFERROR(__xludf.DUMMYFUNCTION("IMPORTRANGE(""https://docs.google.com/spreadsheets/d/1eHaY18a8A9IcSdp1K8H6x8fbOy06t2VsZHhMHf-1x7Y/edit?usp=sharing"",""แผน!IS16"")"),0)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1">I708</f>
        <v>40</v>
      </c>
      <c r="J690" s="700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194110</v>
      </c>
      <c r="R691" s="515">
        <f t="shared" ca="1" si="415"/>
        <v>194110</v>
      </c>
      <c r="S691" s="515">
        <f t="shared" ca="1" si="415"/>
        <v>0</v>
      </c>
      <c r="T691" s="515">
        <f t="shared" ref="T691:T699" ca="1" si="416">IF(Q691&gt;0,S691*100/Q691,0)</f>
        <v>0</v>
      </c>
      <c r="U691" s="515">
        <f t="shared" ref="U691:U699" ca="1" si="417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194110</v>
      </c>
      <c r="R693" s="230">
        <f t="shared" ca="1" si="419"/>
        <v>194110</v>
      </c>
      <c r="S693" s="230">
        <f t="shared" ca="1" si="419"/>
        <v>0</v>
      </c>
      <c r="T693" s="230">
        <f t="shared" ca="1" si="416"/>
        <v>0</v>
      </c>
      <c r="U693" s="230">
        <f t="shared" ca="1" si="417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194110</v>
      </c>
      <c r="R694" s="230">
        <f t="shared" ca="1" si="421"/>
        <v>194110</v>
      </c>
      <c r="S694" s="230">
        <f t="shared" ca="1" si="421"/>
        <v>0</v>
      </c>
      <c r="T694" s="230">
        <f t="shared" ca="1" si="416"/>
        <v>0</v>
      </c>
      <c r="U694" s="230">
        <f t="shared" ca="1" si="417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6" s="230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6" s="230">
        <f ca="1">IFERROR(__xludf.DUMMYFUNCTION("IMPORTRANGE(""https://docs.google.com/spreadsheets/d/1ItG2mGa2ceCfYo0BwxsXqNm01IGEUdYcSSLTEv9YCik/edit?usp=sharing"",""เบิกจ่ายกองทุน!N16"")"),0)</f>
        <v>0</v>
      </c>
      <c r="T696" s="230">
        <f t="shared" ca="1" si="416"/>
        <v>0</v>
      </c>
      <c r="U696" s="230">
        <f t="shared" ca="1" si="417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IFERROR(__xludf.DUMMYFUNCTION("IMPORTRANGE(""https://docs.google.com/spreadsheets/d/1eHaY18a8A9IcSdp1K8H6x8fbOy06t2VsZHhMHf-1x7Y/edit?usp=sharing"",""แผน!LC16"")"),1)</f>
        <v>1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44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IFERROR(__xludf.DUMMYFUNCTION("IMPORTRANGE(""https://docs.google.com/spreadsheets/d/1eHaY18a8A9IcSdp1K8H6x8fbOy06t2VsZHhMHf-1x7Y/edit?usp=sharing"",""แผน!LJ16"")"),40)</f>
        <v>40</v>
      </c>
      <c r="J704" s="189">
        <f ca="1">IFERROR(__xludf.DUMMYFUNCTION("IMPORTRANGE(""https://docs.google.com/spreadsheets/d/1tdoBKaGub7dwA3U6UFTqxio9LNnvDCQjHKmttSEBsFQ/edit?usp=sharing"",""จัดที่ดิน!AP16"")"),0)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IFERROR(__xludf.DUMMYFUNCTION("IMPORTRANGE(""https://docs.google.com/spreadsheets/d/1tdoBKaGub7dwA3U6UFTqxio9LNnvDCQjHKmttSEBsFQ/edit?usp=sharing"",""จัดที่ดิน!AQ16"")"),0)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IFERROR(__xludf.DUMMYFUNCTION("IMPORTRANGE(""https://docs.google.com/spreadsheets/d/1eHaY18a8A9IcSdp1K8H6x8fbOy06t2VsZHhMHf-1x7Y/edit?usp=sharing"",""แผน!LK16"")"),4)</f>
        <v>4</v>
      </c>
      <c r="J706" s="189">
        <f ca="1">IFERROR(__xludf.DUMMYFUNCTION("IMPORTRANGE(""https://docs.google.com/spreadsheets/d/1tdoBKaGub7dwA3U6UFTqxio9LNnvDCQjHKmttSEBsFQ/edit?usp=sharing"",""จัดที่ดิน!AR16"")"),0)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IFERROR(__xludf.DUMMYFUNCTION("IMPORTRANGE(""https://docs.google.com/spreadsheets/d/1tdoBKaGub7dwA3U6UFTqxio9LNnvDCQjHKmttSEBsFQ/edit?usp=sharing"",""จัดที่ดิน!AS16"")"),0)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IFERROR(__xludf.DUMMYFUNCTION("IMPORTRANGE(""https://docs.google.com/spreadsheets/d/1eHaY18a8A9IcSdp1K8H6x8fbOy06t2VsZHhMHf-1x7Y/edit?usp=sharing"",""แผน!LJ16"")"),40)</f>
        <v>40</v>
      </c>
      <c r="J708" s="189">
        <f ca="1">IFERROR(__xludf.DUMMYFUNCTION("IMPORTRANGE(""https://docs.google.com/spreadsheets/d/1tdoBKaGub7dwA3U6UFTqxio9LNnvDCQjHKmttSEBsFQ/edit?usp=sharing"",""จัดที่ดิน!BN16"")"),0)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IFERROR(__xludf.DUMMYFUNCTION("IMPORTRANGE(""https://docs.google.com/spreadsheets/d/1tdoBKaGub7dwA3U6UFTqxio9LNnvDCQjHKmttSEBsFQ/edit?usp=sharing"",""จัดที่ดิน!BO16"")"),0)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IFERROR(__xludf.DUMMYFUNCTION("IMPORTRANGE(""https://docs.google.com/spreadsheets/d/1eHaY18a8A9IcSdp1K8H6x8fbOy06t2VsZHhMHf-1x7Y/edit?usp=sharing"",""แผน!LK16"")"),4)</f>
        <v>4</v>
      </c>
      <c r="J710" s="189">
        <f ca="1">IFERROR(__xludf.DUMMYFUNCTION("IMPORTRANGE(""https://docs.google.com/spreadsheets/d/1tdoBKaGub7dwA3U6UFTqxio9LNnvDCQjHKmttSEBsFQ/edit?usp=sharing"",""จัดที่ดิน!BP16"")"),0)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IFERROR(__xludf.DUMMYFUNCTION("IMPORTRANGE(""https://docs.google.com/spreadsheets/d/1tdoBKaGub7dwA3U6UFTqxio9LNnvDCQjHKmttSEBsFQ/edit?usp=sharing"",""จัดที่ดิน!BQ16"")"),0)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IFERROR(__xludf.DUMMYFUNCTION("IMPORTRANGE(""https://docs.google.com/spreadsheets/d/1eHaY18a8A9IcSdp1K8H6x8fbOy06t2VsZHhMHf-1x7Y/edit?usp=sharing"",""แผน!GA16"")"),128)</f>
        <v>128</v>
      </c>
      <c r="J727" s="700">
        <f>J743+J747+J750</f>
        <v>25</v>
      </c>
      <c r="K727" s="701">
        <f t="shared" ref="K727:K728" ca="1" si="438">IF(I727&gt;0,J727*100/I727,0)</f>
        <v>19.53125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IFERROR(__xludf.DUMMYFUNCTION("IMPORTRANGE(""https://docs.google.com/spreadsheets/d/1eHaY18a8A9IcSdp1K8H6x8fbOy06t2VsZHhMHf-1x7Y/edit?usp=sharing"",""แผน!FZ16"")"),1250)</f>
        <v>1250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1008470</v>
      </c>
      <c r="R729" s="515">
        <f t="shared" ca="1" si="442"/>
        <v>1008470</v>
      </c>
      <c r="S729" s="515">
        <f t="shared" ca="1" si="442"/>
        <v>57265</v>
      </c>
      <c r="T729" s="515">
        <f t="shared" ref="T729:T737" ca="1" si="443">IF(Q729&gt;0,S729*100/Q729,0)</f>
        <v>5.6784039188076987</v>
      </c>
      <c r="U729" s="515">
        <f t="shared" ref="U729:U737" ca="1" si="444">IF(R729&gt;0,S729*100/R729,0)</f>
        <v>5.6784039188076987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1008470</v>
      </c>
      <c r="R731" s="230">
        <f t="shared" ca="1" si="446"/>
        <v>1008470</v>
      </c>
      <c r="S731" s="230">
        <f t="shared" ca="1" si="446"/>
        <v>57265</v>
      </c>
      <c r="T731" s="230">
        <f t="shared" ca="1" si="443"/>
        <v>5.6784039188076987</v>
      </c>
      <c r="U731" s="230">
        <f t="shared" ca="1" si="444"/>
        <v>5.6784039188076987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1008470</v>
      </c>
      <c r="R732" s="230">
        <f t="shared" ca="1" si="448"/>
        <v>1008470</v>
      </c>
      <c r="S732" s="230">
        <f t="shared" ca="1" si="448"/>
        <v>57265</v>
      </c>
      <c r="T732" s="230">
        <f t="shared" ca="1" si="443"/>
        <v>5.6784039188076987</v>
      </c>
      <c r="U732" s="230">
        <f t="shared" ca="1" si="444"/>
        <v>5.6784039188076987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IFERROR(__xludf.DUMMYFUNCTION("IMPORTRANGE(""https://docs.google.com/spreadsheets/d/1ItG2mGa2ceCfYo0BwxsXqNm01IGEUdYcSSLTEv9YCik/edit?usp=sharing"",""เบิกจ่ายกองทุน!Q16"")"),57265)</f>
        <v>57265</v>
      </c>
      <c r="T734" s="230">
        <f t="shared" ca="1" si="443"/>
        <v>5.6784039188076987</v>
      </c>
      <c r="U734" s="230">
        <f t="shared" ca="1" si="444"/>
        <v>5.6784039188076987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600"/>
      <c r="B740" s="601"/>
      <c r="C740" s="601"/>
      <c r="D740" s="601"/>
      <c r="E740" s="704" t="s">
        <v>270</v>
      </c>
      <c r="F740" s="601"/>
      <c r="G740" s="603"/>
      <c r="H740" s="660"/>
      <c r="I740" s="580"/>
      <c r="J740" s="580"/>
      <c r="K740" s="581"/>
      <c r="L740" s="706"/>
      <c r="M740" s="581"/>
      <c r="N740" s="581"/>
      <c r="O740" s="581"/>
      <c r="P740" s="581"/>
      <c r="Q740" s="581"/>
      <c r="R740" s="581"/>
      <c r="S740" s="581"/>
      <c r="T740" s="581"/>
      <c r="U740" s="581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IFERROR(__xludf.DUMMYFUNCTION("IMPORTRANGE(""https://docs.google.com/spreadsheets/d/1eHaY18a8A9IcSdp1K8H6x8fbOy06t2VsZHhMHf-1x7Y/edit?usp=sharing"",""แผน!GB16"")"),1000)</f>
        <v>1000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IFERROR(__xludf.DUMMYFUNCTION("IMPORTRANGE(""https://docs.google.com/spreadsheets/d/1eHaY18a8A9IcSdp1K8H6x8fbOy06t2VsZHhMHf-1x7Y/edit?usp=sharing"",""แผน!GC16"")"),100)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IFERROR(__xludf.DUMMYFUNCTION("IMPORTRANGE(""https://docs.google.com/spreadsheets/d/1eHaY18a8A9IcSdp1K8H6x8fbOy06t2VsZHhMHf-1x7Y/edit?usp=sharing"",""แผน!GD16"")"),250)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IFERROR(__xludf.DUMMYFUNCTION("IMPORTRANGE(""https://docs.google.com/spreadsheets/d/1eHaY18a8A9IcSdp1K8H6x8fbOy06t2VsZHhMHf-1x7Y/edit?usp=sharing"",""แผน!GE16"")"),25)</f>
        <v>25</v>
      </c>
      <c r="J747" s="705">
        <v>25</v>
      </c>
      <c r="K747" s="592">
        <f ca="1">IF(I747&gt;0,J747*100/I747,0)</f>
        <v>100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IFERROR(__xludf.DUMMYFUNCTION("IMPORTRANGE(""https://docs.google.com/spreadsheets/d/1eHaY18a8A9IcSdp1K8H6x8fbOy06t2VsZHhMHf-1x7Y/edit?usp=sharing"",""แผน!GF16"")"),3)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IFERROR(__xludf.DUMMYFUNCTION("IMPORTRANGE(""https://docs.google.com/spreadsheets/d/1eHaY18a8A9IcSdp1K8H6x8fbOy06t2VsZHhMHf-1x7Y/edit?usp=sharing"",""แผน!GC16"")"),100)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IFERROR(__xludf.DUMMYFUNCTION("IMPORTRANGE(""https://docs.google.com/spreadsheets/d/1eHaY18a8A9IcSdp1K8H6x8fbOy06t2VsZHhMHf-1x7Y/edit?usp=sharing"",""แผน!GE16"")"),25)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60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110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416100</v>
      </c>
      <c r="R760" s="515">
        <f t="shared" ca="1" si="457"/>
        <v>416100</v>
      </c>
      <c r="S760" s="515">
        <f t="shared" ca="1" si="457"/>
        <v>13000</v>
      </c>
      <c r="T760" s="515">
        <f t="shared" ref="T760:T768" ca="1" si="458">IF(Q760&gt;0,S760*100/Q760,0)</f>
        <v>3.1242489786109107</v>
      </c>
      <c r="U760" s="515">
        <f t="shared" ref="U760:U768" ca="1" si="459">IF(R760&gt;0,S760*100/R760,0)</f>
        <v>3.1242489786109107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416100</v>
      </c>
      <c r="R762" s="230">
        <f t="shared" ca="1" si="461"/>
        <v>416100</v>
      </c>
      <c r="S762" s="230">
        <f t="shared" ca="1" si="461"/>
        <v>13000</v>
      </c>
      <c r="T762" s="230">
        <f t="shared" ca="1" si="458"/>
        <v>3.1242489786109107</v>
      </c>
      <c r="U762" s="230">
        <f t="shared" ca="1" si="459"/>
        <v>3.1242489786109107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416100</v>
      </c>
      <c r="R763" s="230">
        <f t="shared" ca="1" si="463"/>
        <v>416100</v>
      </c>
      <c r="S763" s="230">
        <f t="shared" ca="1" si="463"/>
        <v>13000</v>
      </c>
      <c r="T763" s="230">
        <f t="shared" ca="1" si="458"/>
        <v>3.1242489786109107</v>
      </c>
      <c r="U763" s="230">
        <f t="shared" ca="1" si="459"/>
        <v>3.1242489786109107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IFERROR(__xludf.DUMMYFUNCTION("IMPORTRANGE(""https://docs.google.com/spreadsheets/d/1ItG2mGa2ceCfYo0BwxsXqNm01IGEUdYcSSLTEv9YCik/edit?usp=sharing"",""เบิกจ่ายกองทุน!U16"")"),416100)</f>
        <v>416100</v>
      </c>
      <c r="R765" s="230">
        <f ca="1">IFERROR(__xludf.DUMMYFUNCTION("IMPORTRANGE(""https://docs.google.com/spreadsheets/d/1ItG2mGa2ceCfYo0BwxsXqNm01IGEUdYcSSLTEv9YCik/edit?usp=sharing"",""เบิกจ่ายกองทุน!V16"")"),416100)</f>
        <v>416100</v>
      </c>
      <c r="S765" s="230">
        <f ca="1">IFERROR(__xludf.DUMMYFUNCTION("IMPORTRANGE(""https://docs.google.com/spreadsheets/d/1ItG2mGa2ceCfYo0BwxsXqNm01IGEUdYcSSLTEv9YCik/edit?usp=sharing"",""เบิกจ่ายกองทุน!W16"")"),13000)</f>
        <v>13000</v>
      </c>
      <c r="T765" s="230">
        <f t="shared" ca="1" si="458"/>
        <v>3.1242489786109107</v>
      </c>
      <c r="U765" s="230">
        <f t="shared" ca="1" si="459"/>
        <v>3.1242489786109107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IFERROR(__xludf.DUMMYFUNCTION("IMPORTRANGE(""https://docs.google.com/spreadsheets/d/1eHaY18a8A9IcSdp1K8H6x8fbOy06t2VsZHhMHf-1x7Y/edit?usp=sharing"",""แผน!FI16"")"),0)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IFERROR(__xludf.DUMMYFUNCTION("IMPORTRANGE(""https://docs.google.com/spreadsheets/d/1eHaY18a8A9IcSdp1K8H6x8fbOy06t2VsZHhMHf-1x7Y/edit?usp=sharing"",""แผน!FQ16"")"),60)</f>
        <v>60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IFERROR(__xludf.DUMMYFUNCTION("IMPORTRANGE(""https://docs.google.com/spreadsheets/d/1eHaY18a8A9IcSdp1K8H6x8fbOy06t2VsZHhMHf-1x7Y/edit?usp=sharing"",""แผน!FR16"")"),110)</f>
        <v>110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IFERROR(__xludf.DUMMYFUNCTION("IMPORTRANGE(""https://docs.google.com/spreadsheets/d/1eHaY18a8A9IcSdp1K8H6x8fbOy06t2VsZHhMHf-1x7Y/edit?usp=sharing"",""แผน!FS16"")"),110)</f>
        <v>110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IFERROR(__xludf.DUMMYFUNCTION("IMPORTRANGE(""https://docs.google.com/spreadsheets/d/1eHaY18a8A9IcSdp1K8H6x8fbOy06t2VsZHhMHf-1x7Y/edit?usp=sharing"",""แผน!FT16"")"),60)</f>
        <v>60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IFERROR(__xludf.DUMMYFUNCTION("IMPORTRANGE(""https://docs.google.com/spreadsheets/d/10OvvATaaLtwErnr3qtWFcTmtbfpFEt5Bsqel9sXx0uE/edit?usp=sharing"",""งานกองทุน!D16"")"),2769562.15)</f>
        <v>2769562.15</v>
      </c>
      <c r="J778" s="189">
        <f ca="1">IFERROR(__xludf.DUMMYFUNCTION("IMPORTRANGE(""https://docs.google.com/spreadsheets/d/10OvvATaaLtwErnr3qtWFcTmtbfpFEt5Bsqel9sXx0uE/edit?usp=sharing"",""งานกองทุน!F16"")"),39984.82)</f>
        <v>39984.82</v>
      </c>
      <c r="K778" s="230">
        <f t="shared" ref="K778:K785" ca="1" si="466">IF(I778&gt;0,J778*100/I778,0)</f>
        <v>1.4437235142024165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IFERROR(__xludf.DUMMYFUNCTION("IMPORTRANGE(""https://docs.google.com/spreadsheets/d/10OvvATaaLtwErnr3qtWFcTmtbfpFEt5Bsqel9sXx0uE/edit?usp=sharing"",""งานกองทุน!C16"")"),122)</f>
        <v>122</v>
      </c>
      <c r="J779" s="189">
        <f ca="1">IFERROR(__xludf.DUMMYFUNCTION("IMPORTRANGE(""https://docs.google.com/spreadsheets/d/10OvvATaaLtwErnr3qtWFcTmtbfpFEt5Bsqel9sXx0uE/edit?usp=sharing"",""งานกองทุน!E16"")"),2)</f>
        <v>2</v>
      </c>
      <c r="K779" s="230">
        <f t="shared" ca="1" si="466"/>
        <v>1.639344262295082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89">
        <f ca="1">IFERROR(__xludf.DUMMYFUNCTION("IMPORTRANGE(""https://docs.google.com/spreadsheets/d/10OvvATaaLtwErnr3qtWFcTmtbfpFEt5Bsqel9sXx0uE/edit?usp=sharing"",""งานกองทุน!K16"")"),51550.29)</f>
        <v>51550.29</v>
      </c>
      <c r="K780" s="230">
        <f t="shared" ca="1" si="466"/>
        <v>6.8094738044715042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IFERROR(__xludf.DUMMYFUNCTION("IMPORTRANGE(""https://docs.google.com/spreadsheets/d/10OvvATaaLtwErnr3qtWFcTmtbfpFEt5Bsqel9sXx0uE/edit?usp=sharing"",""งานกองทุน!H16"")"),51)</f>
        <v>51</v>
      </c>
      <c r="J781" s="189">
        <f ca="1">IFERROR(__xludf.DUMMYFUNCTION("IMPORTRANGE(""https://docs.google.com/spreadsheets/d/10OvvATaaLtwErnr3qtWFcTmtbfpFEt5Bsqel9sXx0uE/edit?usp=sharing"",""งานกองทุน!J16"")"),18)</f>
        <v>18</v>
      </c>
      <c r="K781" s="230">
        <f t="shared" ca="1" si="466"/>
        <v>35.294117647058826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89">
        <f ca="1">IFERROR(__xludf.DUMMYFUNCTION("IMPORTRANGE(""https://docs.google.com/spreadsheets/d/10OvvATaaLtwErnr3qtWFcTmtbfpFEt5Bsqel9sXx0uE/edit?usp=sharing"",""งานกองทุน!P16"")"),5418.45)</f>
        <v>5418.45</v>
      </c>
      <c r="K782" s="230">
        <f t="shared" ca="1" si="466"/>
        <v>13.833738805061328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IFERROR(__xludf.DUMMYFUNCTION("IMPORTRANGE(""https://docs.google.com/spreadsheets/d/10OvvATaaLtwErnr3qtWFcTmtbfpFEt5Bsqel9sXx0uE/edit?usp=sharing"",""งานกองทุน!M16"")"),20)</f>
        <v>20</v>
      </c>
      <c r="J783" s="189">
        <f ca="1">IFERROR(__xludf.DUMMYFUNCTION("IMPORTRANGE(""https://docs.google.com/spreadsheets/d/10OvvATaaLtwErnr3qtWFcTmtbfpFEt5Bsqel9sXx0uE/edit?usp=sharing"",""งานกองทุน!O16"")"),2)</f>
        <v>2</v>
      </c>
      <c r="K783" s="230">
        <f t="shared" ca="1" si="466"/>
        <v>10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IFERROR(__xludf.DUMMYFUNCTION("IMPORTRANGE(""https://docs.google.com/spreadsheets/d/10OvvATaaLtwErnr3qtWFcTmtbfpFEt5Bsqel9sXx0uE/edit?usp=sharing"",""งานกองทุน!S16"")"),3696000)</f>
        <v>3696000</v>
      </c>
      <c r="J784" s="189">
        <f ca="1">IFERROR(__xludf.DUMMYFUNCTION("IMPORTRANGE(""https://docs.google.com/spreadsheets/d/10OvvATaaLtwErnr3qtWFcTmtbfpFEt5Bsqel9sXx0uE/edit?usp=sharing"",""งานกองทุน!U16"")"),0)</f>
        <v>0</v>
      </c>
      <c r="K784" s="230">
        <f t="shared" ca="1" si="466"/>
        <v>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IFERROR(__xludf.DUMMYFUNCTION("IMPORTRANGE(""https://docs.google.com/spreadsheets/d/10OvvATaaLtwErnr3qtWFcTmtbfpFEt5Bsqel9sXx0uE/edit?usp=sharing"",""งานกองทุน!R16"")"),132)</f>
        <v>132</v>
      </c>
      <c r="J785" s="194">
        <f ca="1">IFERROR(__xludf.DUMMYFUNCTION("IMPORTRANGE(""https://docs.google.com/spreadsheets/d/10OvvATaaLtwErnr3qtWFcTmtbfpFEt5Bsqel9sXx0uE/edit?usp=sharing"",""งานกองทุน!T16"")"),0)</f>
        <v>0</v>
      </c>
      <c r="K785" s="461">
        <f t="shared" ca="1" si="466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B1D5-BD76-461D-B974-CDFA25D97AB9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5" width="12.5703125" bestFit="1" customWidth="1"/>
    <col min="16" max="16" width="12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314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1857370</v>
      </c>
      <c r="M19" s="474">
        <f t="shared" ca="1" si="0"/>
        <v>1890197</v>
      </c>
      <c r="N19" s="474">
        <f t="shared" ca="1" si="0"/>
        <v>984896.90999999992</v>
      </c>
      <c r="O19" s="474">
        <f t="shared" ref="O19:O27" ca="1" si="1">IF(L19&gt;0,N19*100/L19,0)</f>
        <v>53.026424998788599</v>
      </c>
      <c r="P19" s="474">
        <f t="shared" ref="P19:P27" ca="1" si="2">IF(M19&gt;0,N19*100/M19,0)</f>
        <v>52.105516514945258</v>
      </c>
      <c r="Q19" s="474">
        <f t="shared" ref="Q19:S19" ca="1" si="3">Q20+Q21</f>
        <v>829900.24</v>
      </c>
      <c r="R19" s="474">
        <f t="shared" ca="1" si="3"/>
        <v>767400</v>
      </c>
      <c r="S19" s="474">
        <f t="shared" ca="1" si="3"/>
        <v>36403.14</v>
      </c>
      <c r="T19" s="474">
        <f t="shared" ref="T19:T27" ca="1" si="4">IF(Q19&gt;0,S19*100/Q19,0)</f>
        <v>4.3864477012321386</v>
      </c>
      <c r="U19" s="474">
        <f t="shared" ref="U19:U27" ca="1" si="5">IF(R19&gt;0,S19*100/R19,0)</f>
        <v>4.7436982017200942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1857370</v>
      </c>
      <c r="M21" s="480">
        <f t="shared" ca="1" si="6"/>
        <v>1890197</v>
      </c>
      <c r="N21" s="480">
        <f t="shared" ca="1" si="6"/>
        <v>984896.90999999992</v>
      </c>
      <c r="O21" s="480">
        <f t="shared" ca="1" si="1"/>
        <v>53.026424998788599</v>
      </c>
      <c r="P21" s="480">
        <f t="shared" ca="1" si="2"/>
        <v>52.105516514945258</v>
      </c>
      <c r="Q21" s="480">
        <f t="shared" ca="1" si="7"/>
        <v>829900.24</v>
      </c>
      <c r="R21" s="480">
        <f t="shared" ca="1" si="7"/>
        <v>767400</v>
      </c>
      <c r="S21" s="480">
        <f t="shared" ca="1" si="7"/>
        <v>36403.14</v>
      </c>
      <c r="T21" s="480">
        <f t="shared" ca="1" si="4"/>
        <v>4.3864477012321386</v>
      </c>
      <c r="U21" s="480">
        <f t="shared" ca="1" si="5"/>
        <v>4.7436982017200942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1857370</v>
      </c>
      <c r="M22" s="230">
        <f t="shared" ca="1" si="8"/>
        <v>1890197</v>
      </c>
      <c r="N22" s="230">
        <f t="shared" ca="1" si="8"/>
        <v>984896.90999999992</v>
      </c>
      <c r="O22" s="230">
        <f t="shared" ca="1" si="1"/>
        <v>53.026424998788599</v>
      </c>
      <c r="P22" s="230">
        <f t="shared" ca="1" si="2"/>
        <v>52.105516514945258</v>
      </c>
      <c r="Q22" s="230">
        <f t="shared" ref="Q22:S22" ca="1" si="9">Q23+Q24</f>
        <v>829900.24</v>
      </c>
      <c r="R22" s="230">
        <f t="shared" ca="1" si="9"/>
        <v>767400</v>
      </c>
      <c r="S22" s="230">
        <f t="shared" ca="1" si="9"/>
        <v>36403.14</v>
      </c>
      <c r="T22" s="230">
        <f t="shared" ca="1" si="4"/>
        <v>4.3864477012321386</v>
      </c>
      <c r="U22" s="230">
        <f t="shared" ca="1" si="5"/>
        <v>4.7436982017200942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1857370</v>
      </c>
      <c r="M24" s="230">
        <f t="shared" ca="1" si="10"/>
        <v>1890197</v>
      </c>
      <c r="N24" s="230">
        <f t="shared" ca="1" si="10"/>
        <v>984896.90999999992</v>
      </c>
      <c r="O24" s="230">
        <f t="shared" ca="1" si="1"/>
        <v>53.026424998788599</v>
      </c>
      <c r="P24" s="230">
        <f t="shared" ca="1" si="2"/>
        <v>52.105516514945258</v>
      </c>
      <c r="Q24" s="230">
        <f t="shared" ca="1" si="11"/>
        <v>829900.24</v>
      </c>
      <c r="R24" s="230">
        <f t="shared" ca="1" si="11"/>
        <v>767400</v>
      </c>
      <c r="S24" s="230">
        <f t="shared" ca="1" si="11"/>
        <v>36403.14</v>
      </c>
      <c r="T24" s="230">
        <f t="shared" ca="1" si="4"/>
        <v>4.3864477012321386</v>
      </c>
      <c r="U24" s="230">
        <f t="shared" ca="1" si="5"/>
        <v>4.7436982017200942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1857370</v>
      </c>
      <c r="M41" s="487">
        <f t="shared" ca="1" si="16"/>
        <v>1890197</v>
      </c>
      <c r="N41" s="487">
        <f t="shared" ca="1" si="16"/>
        <v>984896.90999999992</v>
      </c>
      <c r="O41" s="487">
        <f ca="1">IF(L41&gt;0,N41*100/L41,0)</f>
        <v>53.026424998788599</v>
      </c>
      <c r="P41" s="487">
        <f ca="1">IF(M41&gt;0,N41*100/M41,0)</f>
        <v>52.105516514945258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275600</v>
      </c>
      <c r="M45" s="491">
        <f t="shared" ca="1" si="17"/>
        <v>285547</v>
      </c>
      <c r="N45" s="491">
        <f t="shared" ca="1" si="17"/>
        <v>245236</v>
      </c>
      <c r="O45" s="491">
        <f t="shared" ref="O45:O53" ca="1" si="18">IF(L45&gt;0,N45*100/L45,0)</f>
        <v>88.982583454281567</v>
      </c>
      <c r="P45" s="491">
        <f t="shared" ref="P45:P53" ca="1" si="19">IF(M45&gt;0,N45*100/M45,0)</f>
        <v>85.88288442883308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275600</v>
      </c>
      <c r="M47" s="497">
        <f t="shared" ca="1" si="23"/>
        <v>285547</v>
      </c>
      <c r="N47" s="497">
        <f t="shared" ca="1" si="23"/>
        <v>245236</v>
      </c>
      <c r="O47" s="497">
        <f t="shared" ca="1" si="18"/>
        <v>88.982583454281567</v>
      </c>
      <c r="P47" s="497">
        <f t="shared" ca="1" si="19"/>
        <v>85.88288442883308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275600</v>
      </c>
      <c r="M48" s="230">
        <f t="shared" ca="1" si="25"/>
        <v>285547</v>
      </c>
      <c r="N48" s="230">
        <f t="shared" ca="1" si="25"/>
        <v>245236</v>
      </c>
      <c r="O48" s="230">
        <f t="shared" ca="1" si="18"/>
        <v>88.982583454281567</v>
      </c>
      <c r="P48" s="230">
        <f t="shared" ca="1" si="19"/>
        <v>85.88288442883308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IFERROR(__xludf.DUMMYFUNCTION("IMPORTRANGE(""https://docs.google.com/spreadsheets/d/1-uDff_7J0KD5mKrp0Vvzr7lt3OU09vwQwhkpOPPYv2Y/edit?usp=sharing"",""งบพรบ!P17"")"),275600)</f>
        <v>275600</v>
      </c>
      <c r="M50" s="230">
        <f ca="1">IFERROR(__xludf.DUMMYFUNCTION("IMPORTRANGE(""https://docs.google.com/spreadsheets/d/1-uDff_7J0KD5mKrp0Vvzr7lt3OU09vwQwhkpOPPYv2Y/edit?usp=sharing"",""งบพรบ!V17"")"),285547)</f>
        <v>285547</v>
      </c>
      <c r="N50" s="230">
        <f ca="1">IFERROR(__xludf.DUMMYFUNCTION("IMPORTRANGE(""https://docs.google.com/spreadsheets/d/1-uDff_7J0KD5mKrp0Vvzr7lt3OU09vwQwhkpOPPYv2Y/edit?usp=sharing"",""งบพรบ!Y17"")"),245236)</f>
        <v>245236</v>
      </c>
      <c r="O50" s="230">
        <f t="shared" ca="1" si="18"/>
        <v>88.982583454281567</v>
      </c>
      <c r="P50" s="230">
        <f t="shared" ca="1" si="19"/>
        <v>85.88288442883308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IFERROR(__xludf.DUMMYFUNCTION("IMPORTRANGE(""https://docs.google.com/spreadsheets/d/1-uDff_7J0KD5mKrp0Vvzr7lt3OU09vwQwhkpOPPYv2Y/edit?usp=sharing"",""งบพรบ!S17"")"),0)</f>
        <v>0</v>
      </c>
      <c r="M53" s="230">
        <f ca="1">IFERROR(__xludf.DUMMYFUNCTION("IMPORTRANGE(""https://docs.google.com/spreadsheets/d/1-uDff_7J0KD5mKrp0Vvzr7lt3OU09vwQwhkpOPPYv2Y/edit?usp=sharing"",""งบพรบ!W17"")"),0)</f>
        <v>0</v>
      </c>
      <c r="N53" s="230">
        <f ca="1">IFERROR(__xludf.DUMMYFUNCTION("IMPORTRANGE(""https://docs.google.com/spreadsheets/d/1-uDff_7J0KD5mKrp0Vvzr7lt3OU09vwQwhkpOPPYv2Y/edit?usp=sharing"",""งบพรบ!Z17"")"),0)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472900</v>
      </c>
      <c r="M60" s="502">
        <f t="shared" ca="1" si="29"/>
        <v>472900</v>
      </c>
      <c r="N60" s="502">
        <f t="shared" ca="1" si="29"/>
        <v>299716.90999999997</v>
      </c>
      <c r="O60" s="502">
        <f t="shared" ref="O60:O68" ca="1" si="30">IF(L60&gt;0,N60*100/L60,0)</f>
        <v>63.378496510890244</v>
      </c>
      <c r="P60" s="502">
        <f t="shared" ref="P60:P68" ca="1" si="31">IF(M60&gt;0,N60*100/M60,0)</f>
        <v>63.378496510890244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472900</v>
      </c>
      <c r="M62" s="508">
        <f t="shared" ca="1" si="35"/>
        <v>472900</v>
      </c>
      <c r="N62" s="508">
        <f t="shared" ca="1" si="35"/>
        <v>299716.90999999997</v>
      </c>
      <c r="O62" s="508">
        <f t="shared" ca="1" si="30"/>
        <v>63.378496510890244</v>
      </c>
      <c r="P62" s="508">
        <f t="shared" ca="1" si="31"/>
        <v>63.378496510890244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472900</v>
      </c>
      <c r="M63" s="230">
        <f t="shared" ca="1" si="37"/>
        <v>472900</v>
      </c>
      <c r="N63" s="230">
        <f t="shared" ca="1" si="37"/>
        <v>299716.90999999997</v>
      </c>
      <c r="O63" s="230">
        <f t="shared" ca="1" si="30"/>
        <v>63.378496510890244</v>
      </c>
      <c r="P63" s="230">
        <f t="shared" ca="1" si="31"/>
        <v>63.378496510890244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IFERROR(__xludf.DUMMYFUNCTION("IMPORTRANGE(""https://docs.google.com/spreadsheets/d/1-uDff_7J0KD5mKrp0Vvzr7lt3OU09vwQwhkpOPPYv2Y/edit?usp=sharing"",""งบพรบ!AC17"")"),472900)</f>
        <v>472900</v>
      </c>
      <c r="M65" s="230">
        <f ca="1">IFERROR(__xludf.DUMMYFUNCTION("IMPORTRANGE(""https://docs.google.com/spreadsheets/d/1-uDff_7J0KD5mKrp0Vvzr7lt3OU09vwQwhkpOPPYv2Y/edit?usp=sharing"",""งบพรบ!AH17"")"),472900)</f>
        <v>472900</v>
      </c>
      <c r="N65" s="230">
        <f ca="1">IFERROR(__xludf.DUMMYFUNCTION("IMPORTRANGE(""https://docs.google.com/spreadsheets/d/1-uDff_7J0KD5mKrp0Vvzr7lt3OU09vwQwhkpOPPYv2Y/edit?usp=sharing"",""งบพรบ!AJ17"")"),299716.91)</f>
        <v>299716.90999999997</v>
      </c>
      <c r="O65" s="230">
        <f t="shared" ca="1" si="30"/>
        <v>63.378496510890244</v>
      </c>
      <c r="P65" s="230">
        <f t="shared" ca="1" si="31"/>
        <v>63.378496510890244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IFERROR(__xludf.DUMMYFUNCTION("IMPORTRANGE(""https://docs.google.com/spreadsheets/d/1-uDff_7J0KD5mKrp0Vvzr7lt3OU09vwQwhkpOPPYv2Y/edit?usp=sharing"",""งบพรบ!AF17"")"),0)</f>
        <v>0</v>
      </c>
      <c r="M68" s="461">
        <f ca="1">IFERROR(__xludf.DUMMYFUNCTION("IMPORTRANGE(""https://docs.google.com/spreadsheets/d/1-uDff_7J0KD5mKrp0Vvzr7lt3OU09vwQwhkpOPPYv2Y/edit?usp=sharing"",""งบพรบ!AI17"")"),0)</f>
        <v>0</v>
      </c>
      <c r="N68" s="461">
        <f ca="1">IFERROR(__xludf.DUMMYFUNCTION("IMPORTRANGE(""https://docs.google.com/spreadsheets/d/1-uDff_7J0KD5mKrp0Vvzr7lt3OU09vwQwhkpOPPYv2Y/edit?usp=sharing"",""งบพรบ!AK17"")"),0)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hidden="1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hidden="1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hidden="1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hidden="1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hidden="1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IFERROR(__xludf.DUMMYFUNCTION("IMPORTRANGE(""https://docs.google.com/spreadsheets/d/1-uDff_7J0KD5mKrp0Vvzr7lt3OU09vwQwhkpOPPYv2Y/edit?usp=sharing"",""งบพรบ!AM17"")"),0)</f>
        <v>0</v>
      </c>
      <c r="M78" s="230">
        <f ca="1">IFERROR(__xludf.DUMMYFUNCTION("IMPORTRANGE(""https://docs.google.com/spreadsheets/d/1-uDff_7J0KD5mKrp0Vvzr7lt3OU09vwQwhkpOPPYv2Y/edit?usp=sharing"",""งบพรบ!AR17"")"),0)</f>
        <v>0</v>
      </c>
      <c r="N78" s="230">
        <f ca="1">IFERROR(__xludf.DUMMYFUNCTION("IMPORTRANGE(""https://docs.google.com/spreadsheets/d/1-uDff_7J0KD5mKrp0Vvzr7lt3OU09vwQwhkpOPPYv2Y/edit?usp=sharing"",""งบพรบ!AT17"")"),0)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IFERROR(__xludf.DUMMYFUNCTION("IMPORTRANGE(""https://docs.google.com/spreadsheets/d/1ItG2mGa2ceCfYo0BwxsXqNm01IGEUdYcSSLTEv9YCik/edit?usp=sharing"",""เบิกจ่ายกองทุน!AS17"")"),0)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IFERROR(__xludf.DUMMYFUNCTION("IMPORTRANGE(""https://docs.google.com/spreadsheets/d/1ItG2mGa2ceCfYo0BwxsXqNm01IGEUdYcSSLTEv9YCik/edit?usp=sharing"",""เบิกจ่ายกองทุน!AT17"")"),0)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IFERROR(__xludf.DUMMYFUNCTION("IMPORTRANGE(""https://docs.google.com/spreadsheets/d/1ItG2mGa2ceCfYo0BwxsXqNm01IGEUdYcSSLTEv9YCik/edit?usp=sharing"",""เบิกจ่ายกองทุน!AU17"")"),0)</f>
        <v>0</v>
      </c>
      <c r="T78" s="230">
        <f t="shared" ca="1" si="47"/>
        <v>0</v>
      </c>
      <c r="U78" s="230">
        <f t="shared" ca="1" si="48"/>
        <v>0</v>
      </c>
    </row>
    <row r="79" spans="1:21" ht="18.75" hidden="1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IFERROR(__xludf.DUMMYFUNCTION("IMPORTRANGE(""https://docs.google.com/spreadsheets/d/1-uDff_7J0KD5mKrp0Vvzr7lt3OU09vwQwhkpOPPYv2Y/edit?usp=sharing"",""งบพรบ!AP17"")"),0)</f>
        <v>0</v>
      </c>
      <c r="M81" s="230">
        <f ca="1">IFERROR(__xludf.DUMMYFUNCTION("IMPORTRANGE(""https://docs.google.com/spreadsheets/d/1-uDff_7J0KD5mKrp0Vvzr7lt3OU09vwQwhkpOPPYv2Y/edit?usp=sharing"",""งบพรบ!AS17"")"),0)</f>
        <v>0</v>
      </c>
      <c r="N81" s="230">
        <f ca="1">IFERROR(__xludf.DUMMYFUNCTION("IMPORTRANGE(""https://docs.google.com/spreadsheets/d/1-uDff_7J0KD5mKrp0Vvzr7lt3OU09vwQwhkpOPPYv2Y/edit?usp=sharing"",""งบพรบ!AU17"")"),0)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hidden="1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hidden="1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hidden="1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hidden="1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IFERROR(__xludf.DUMMYFUNCTION("IMPORTRANGE(""https://docs.google.com/spreadsheets/d/1eHaY18a8A9IcSdp1K8H6x8fbOy06t2VsZHhMHf-1x7Y/edit?usp=sharing"",""แผน!H17"")"),0)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hidden="1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IFERROR(__xludf.DUMMYFUNCTION("IMPORTRANGE(""https://docs.google.com/spreadsheets/d/1eHaY18a8A9IcSdp1K8H6x8fbOy06t2VsZHhMHf-1x7Y/edit?usp=sharing"",""แผน!I17"")"),0)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hidden="1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IFERROR(__xludf.DUMMYFUNCTION("IMPORTRANGE(""https://docs.google.com/spreadsheets/d/1eHaY18a8A9IcSdp1K8H6x8fbOy06t2VsZHhMHf-1x7Y/edit?usp=sharing"",""แผน!F17"")"),0)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hidden="1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IFERROR(__xludf.DUMMYFUNCTION("IMPORTRANGE(""https://docs.google.com/spreadsheets/d/1eHaY18a8A9IcSdp1K8H6x8fbOy06t2VsZHhMHf-1x7Y/edit?usp=sharing"",""แผน!G17"")"),0)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hidden="1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IFERROR(__xludf.DUMMYFUNCTION("IMPORTRANGE(""https://docs.google.com/spreadsheets/d/1eHaY18a8A9IcSdp1K8H6x8fbOy06t2VsZHhMHf-1x7Y/edit?usp=sharing"",""แผน!D17"")"),0)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hidden="1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IFERROR(__xludf.DUMMYFUNCTION("IMPORTRANGE(""https://docs.google.com/spreadsheets/d/1eHaY18a8A9IcSdp1K8H6x8fbOy06t2VsZHhMHf-1x7Y/edit?usp=sharing"",""แผน!E17"")"),0)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hidden="1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IFERROR(__xludf.DUMMYFUNCTION("IMPORTRANGE(""https://docs.google.com/spreadsheets/d/1eHaY18a8A9IcSdp1K8H6x8fbOy06t2VsZHhMHf-1x7Y/edit?usp=sharing"",""แผน!J17"")"),0)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IFERROR(__xludf.DUMMYFUNCTION("IMPORTRANGE(""https://docs.google.com/spreadsheets/d/1-uDff_7J0KD5mKrp0Vvzr7lt3OU09vwQwhkpOPPYv2Y/edit?usp=sharing"",""งบพรบ!AW17"")"),0)</f>
        <v>0</v>
      </c>
      <c r="M100" s="230">
        <f ca="1">IFERROR(__xludf.DUMMYFUNCTION("IMPORTRANGE(""https://docs.google.com/spreadsheets/d/1-uDff_7J0KD5mKrp0Vvzr7lt3OU09vwQwhkpOPPYv2Y/edit?usp=sharing"",""งบพรบ!BB17"")"),0)</f>
        <v>0</v>
      </c>
      <c r="N100" s="230">
        <f ca="1">IFERROR(__xludf.DUMMYFUNCTION("IMPORTRANGE(""https://docs.google.com/spreadsheets/d/1-uDff_7J0KD5mKrp0Vvzr7lt3OU09vwQwhkpOPPYv2Y/edit?usp=sharing"",""งบพรบ!BD17"")"),0)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IFERROR(__xludf.DUMMYFUNCTION("IMPORTRANGE(""https://docs.google.com/spreadsheets/d/1ItG2mGa2ceCfYo0BwxsXqNm01IGEUdYcSSLTEv9YCik/edit?usp=sharing"",""เบิกจ่ายกองทุน!AD17"")"),0)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IFERROR(__xludf.DUMMYFUNCTION("IMPORTRANGE(""https://docs.google.com/spreadsheets/d/1ItG2mGa2ceCfYo0BwxsXqNm01IGEUdYcSSLTEv9YCik/edit?usp=sharing"",""เบิกจ่ายกองทุน!AE17"")"),0)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IFERROR(__xludf.DUMMYFUNCTION("IMPORTRANGE(""https://docs.google.com/spreadsheets/d/1ItG2mGa2ceCfYo0BwxsXqNm01IGEUdYcSSLTEv9YCik/edit?usp=sharing"",""เบิกจ่ายกองทุน!AF17"")"),0)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IFERROR(__xludf.DUMMYFUNCTION("IMPORTRANGE(""https://docs.google.com/spreadsheets/d/1-uDff_7J0KD5mKrp0Vvzr7lt3OU09vwQwhkpOPPYv2Y/edit?usp=sharing"",""งบพรบ!AZ17"")"),0)</f>
        <v>0</v>
      </c>
      <c r="M103" s="230">
        <f ca="1">IFERROR(__xludf.DUMMYFUNCTION("IMPORTRANGE(""https://docs.google.com/spreadsheets/d/1-uDff_7J0KD5mKrp0Vvzr7lt3OU09vwQwhkpOPPYv2Y/edit?usp=sharing"",""งบพรบ!BC17"")"),0)</f>
        <v>0</v>
      </c>
      <c r="N103" s="230">
        <f ca="1">IFERROR(__xludf.DUMMYFUNCTION("IMPORTRANGE(""https://docs.google.com/spreadsheets/d/1-uDff_7J0KD5mKrp0Vvzr7lt3OU09vwQwhkpOPPYv2Y/edit?usp=sharing"",""งบพรบ!BE17"")"),0)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IFERROR(__xludf.DUMMYFUNCTION("IMPORTRANGE(""https://docs.google.com/spreadsheets/d/1eHaY18a8A9IcSdp1K8H6x8fbOy06t2VsZHhMHf-1x7Y/edit?usp=sharing"",""แผน!N17"")"),0)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IFERROR(__xludf.DUMMYFUNCTION("IMPORTRANGE(""https://docs.google.com/spreadsheets/d/1eHaY18a8A9IcSdp1K8H6x8fbOy06t2VsZHhMHf-1x7Y/edit?usp=sharing"",""แผน!O17"")"),0)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IFERROR(__xludf.DUMMYFUNCTION("IMPORTRANGE(""https://docs.google.com/spreadsheets/d/1eHaY18a8A9IcSdp1K8H6x8fbOy06t2VsZHhMHf-1x7Y/edit?usp=sharing"",""แผน!R17"")"),0)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20</v>
      </c>
      <c r="J117" s="511">
        <f t="shared" si="72"/>
        <v>20</v>
      </c>
      <c r="K117" s="474">
        <f ca="1">IF(I117&gt;0,J117*100/I117,0)</f>
        <v>100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211520</v>
      </c>
      <c r="R118" s="515">
        <f t="shared" ca="1" si="76"/>
        <v>211520</v>
      </c>
      <c r="S118" s="515">
        <f t="shared" ca="1" si="76"/>
        <v>36403.14</v>
      </c>
      <c r="T118" s="515">
        <f t="shared" ref="T118:T126" ca="1" si="77">IF(Q118&gt;0,S118*100/Q118,0)</f>
        <v>17.210259077155825</v>
      </c>
      <c r="U118" s="515">
        <f t="shared" ref="U118:U126" ca="1" si="78">IF(R118&gt;0,S118*100/R118,0)</f>
        <v>17.210259077155825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211520</v>
      </c>
      <c r="R120" s="230">
        <f t="shared" ca="1" si="80"/>
        <v>211520</v>
      </c>
      <c r="S120" s="230">
        <f t="shared" ca="1" si="80"/>
        <v>36403.14</v>
      </c>
      <c r="T120" s="230">
        <f t="shared" ca="1" si="77"/>
        <v>17.210259077155825</v>
      </c>
      <c r="U120" s="230">
        <f t="shared" ca="1" si="78"/>
        <v>17.210259077155825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211520</v>
      </c>
      <c r="R121" s="230">
        <f t="shared" ca="1" si="82"/>
        <v>211520</v>
      </c>
      <c r="S121" s="230">
        <f t="shared" ca="1" si="82"/>
        <v>36403.14</v>
      </c>
      <c r="T121" s="230">
        <f t="shared" ca="1" si="77"/>
        <v>17.210259077155825</v>
      </c>
      <c r="U121" s="230">
        <f t="shared" ca="1" si="78"/>
        <v>17.210259077155825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IFERROR(__xludf.DUMMYFUNCTION("IMPORTRANGE(""https://docs.google.com/spreadsheets/d/1-uDff_7J0KD5mKrp0Vvzr7lt3OU09vwQwhkpOPPYv2Y/edit?usp=sharing"",""งบพรบ!BG17"")"),0)</f>
        <v>0</v>
      </c>
      <c r="M123" s="230">
        <f ca="1">IFERROR(__xludf.DUMMYFUNCTION("IMPORTRANGE(""https://docs.google.com/spreadsheets/d/1-uDff_7J0KD5mKrp0Vvzr7lt3OU09vwQwhkpOPPYv2Y/edit?usp=sharing"",""งบพรบ!BL17"")"),0)</f>
        <v>0</v>
      </c>
      <c r="N123" s="230">
        <f ca="1">IFERROR(__xludf.DUMMYFUNCTION("IMPORTRANGE(""https://docs.google.com/spreadsheets/d/1-uDff_7J0KD5mKrp0Vvzr7lt3OU09vwQwhkpOPPYv2Y/edit?usp=sharing"",""งบพรบ!BN17"")"),0)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IFERROR(__xludf.DUMMYFUNCTION("IMPORTRANGE(""https://docs.google.com/spreadsheets/d/1ItG2mGa2ceCfYo0BwxsXqNm01IGEUdYcSSLTEv9YCik/edit?usp=sharing"",""เบิกจ่ายกองทุน!R17"")"),211520)</f>
        <v>211520</v>
      </c>
      <c r="R123" s="230">
        <f ca="1">IFERROR(__xludf.DUMMYFUNCTION("IMPORTRANGE(""https://docs.google.com/spreadsheets/d/1ItG2mGa2ceCfYo0BwxsXqNm01IGEUdYcSSLTEv9YCik/edit?usp=sharing"",""เบิกจ่ายกองทุน!S17"")"),211520)</f>
        <v>211520</v>
      </c>
      <c r="S123" s="230">
        <f ca="1">IFERROR(__xludf.DUMMYFUNCTION("IMPORTRANGE(""https://docs.google.com/spreadsheets/d/1ItG2mGa2ceCfYo0BwxsXqNm01IGEUdYcSSLTEv9YCik/edit?usp=sharing"",""เบิกจ่ายกองทุน!T17"")"),36403.14)</f>
        <v>36403.14</v>
      </c>
      <c r="T123" s="230">
        <f t="shared" ca="1" si="77"/>
        <v>17.210259077155825</v>
      </c>
      <c r="U123" s="230">
        <f t="shared" ca="1" si="78"/>
        <v>17.210259077155825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IFERROR(__xludf.DUMMYFUNCTION("IMPORTRANGE(""https://docs.google.com/spreadsheets/d/1-uDff_7J0KD5mKrp0Vvzr7lt3OU09vwQwhkpOPPYv2Y/edit?usp=sharing"",""งบพรบ!BJ17"")"),0)</f>
        <v>0</v>
      </c>
      <c r="M126" s="230">
        <f ca="1">IFERROR(__xludf.DUMMYFUNCTION("IMPORTRANGE(""https://docs.google.com/spreadsheets/d/1-uDff_7J0KD5mKrp0Vvzr7lt3OU09vwQwhkpOPPYv2Y/edit?usp=sharing"",""งบพรบ!BM17"")"),0)</f>
        <v>0</v>
      </c>
      <c r="N126" s="230">
        <f ca="1">IFERROR(__xludf.DUMMYFUNCTION("IMPORTRANGE(""https://docs.google.com/spreadsheets/d/1-uDff_7J0KD5mKrp0Vvzr7lt3OU09vwQwhkpOPPYv2Y/edit?usp=sharing"",""งบพรบ!BO17"")"),0)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IFERROR(__xludf.DUMMYFUNCTION("IMPORTRANGE(""https://docs.google.com/spreadsheets/d/1eHaY18a8A9IcSdp1K8H6x8fbOy06t2VsZHhMHf-1x7Y/edit?usp=sharing"",""แผน!FF17"")"),20)</f>
        <v>20</v>
      </c>
      <c r="J128" s="520">
        <v>20</v>
      </c>
      <c r="K128" s="230">
        <f t="shared" ref="K128:K131" ca="1" si="85">IF(I128&gt;0,J128*100/I128,0)</f>
        <v>100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IFERROR(__xludf.DUMMYFUNCTION("IMPORTRANGE(""https://docs.google.com/spreadsheets/d/1eHaY18a8A9IcSdp1K8H6x8fbOy06t2VsZHhMHf-1x7Y/edit?usp=sharing"",""แผน!FG17"")"),0)</f>
        <v>0</v>
      </c>
      <c r="J129" s="520">
        <v>2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IFERROR(__xludf.DUMMYFUNCTION("IMPORTRANGE(""https://docs.google.com/spreadsheets/d/1eHaY18a8A9IcSdp1K8H6x8fbOy06t2VsZHhMHf-1x7Y/edit?usp=sharing"",""แผน!FH17"")"),20)</f>
        <v>20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IFERROR(__xludf.DUMMYFUNCTION("IMPORTRANGE(""https://docs.google.com/spreadsheets/d/1eHaY18a8A9IcSdp1K8H6x8fbOy06t2VsZHhMHf-1x7Y/edit?usp=sharing"",""แผน!FI17"")"),0)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0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20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2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115700</v>
      </c>
      <c r="M140" s="515">
        <f t="shared" ca="1" si="89"/>
        <v>110700</v>
      </c>
      <c r="N140" s="515">
        <f t="shared" ca="1" si="89"/>
        <v>69841</v>
      </c>
      <c r="O140" s="515">
        <f t="shared" ref="O140:O148" ca="1" si="90">IF(L140&gt;0,N140*100/L140,0)</f>
        <v>60.363872082973209</v>
      </c>
      <c r="P140" s="515">
        <f t="shared" ref="P140:P148" ca="1" si="91">IF(M140&gt;0,N140*100/M140,0)</f>
        <v>63.090334236675702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115700</v>
      </c>
      <c r="M142" s="230">
        <f t="shared" ca="1" si="95"/>
        <v>110700</v>
      </c>
      <c r="N142" s="230">
        <f t="shared" ca="1" si="95"/>
        <v>69841</v>
      </c>
      <c r="O142" s="230">
        <f t="shared" ca="1" si="90"/>
        <v>60.363872082973209</v>
      </c>
      <c r="P142" s="230">
        <f t="shared" ca="1" si="91"/>
        <v>63.090334236675702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115700</v>
      </c>
      <c r="M143" s="230">
        <f t="shared" ca="1" si="97"/>
        <v>110700</v>
      </c>
      <c r="N143" s="230">
        <f t="shared" ca="1" si="97"/>
        <v>69841</v>
      </c>
      <c r="O143" s="230">
        <f t="shared" ca="1" si="90"/>
        <v>60.363872082973209</v>
      </c>
      <c r="P143" s="230">
        <f t="shared" ca="1" si="91"/>
        <v>63.090334236675702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IFERROR(__xludf.DUMMYFUNCTION("IMPORTRANGE(""https://docs.google.com/spreadsheets/d/1-uDff_7J0KD5mKrp0Vvzr7lt3OU09vwQwhkpOPPYv2Y/edit?usp=sharing"",""งบพรบ!BQ17"")"),115700)</f>
        <v>115700</v>
      </c>
      <c r="M145" s="230">
        <f ca="1">IFERROR(__xludf.DUMMYFUNCTION("IMPORTRANGE(""https://docs.google.com/spreadsheets/d/1-uDff_7J0KD5mKrp0Vvzr7lt3OU09vwQwhkpOPPYv2Y/edit?usp=sharing"",""งบพรบ!BV17"")"),110700)</f>
        <v>110700</v>
      </c>
      <c r="N145" s="230">
        <f ca="1">IFERROR(__xludf.DUMMYFUNCTION("IMPORTRANGE(""https://docs.google.com/spreadsheets/d/1-uDff_7J0KD5mKrp0Vvzr7lt3OU09vwQwhkpOPPYv2Y/edit?usp=sharing"",""งบพรบ!BX17"")"),69841)</f>
        <v>69841</v>
      </c>
      <c r="O145" s="230">
        <f t="shared" ca="1" si="90"/>
        <v>60.363872082973209</v>
      </c>
      <c r="P145" s="230">
        <f t="shared" ca="1" si="91"/>
        <v>63.090334236675702</v>
      </c>
      <c r="Q145" s="230">
        <f ca="1">IFERROR(__xludf.DUMMYFUNCTION("IMPORTRANGE(""https://docs.google.com/spreadsheets/d/1ItG2mGa2ceCfYo0BwxsXqNm01IGEUdYcSSLTEv9YCik/edit?usp=sharing"",""เบิกจ่ายกองทุน!BB17"")"),0)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IFERROR(__xludf.DUMMYFUNCTION("IMPORTRANGE(""https://docs.google.com/spreadsheets/d/1ItG2mGa2ceCfYo0BwxsXqNm01IGEUdYcSSLTEv9YCik/edit?usp=sharing"",""เบิกจ่ายกองทุน!BC17"")"),0)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IFERROR(__xludf.DUMMYFUNCTION("IMPORTRANGE(""https://docs.google.com/spreadsheets/d/1ItG2mGa2ceCfYo0BwxsXqNm01IGEUdYcSSLTEv9YCik/edit?usp=sharing"",""เบิกจ่ายกองทุน!BD17"")"),0)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IFERROR(__xludf.DUMMYFUNCTION("IMPORTRANGE(""https://docs.google.com/spreadsheets/d/1-uDff_7J0KD5mKrp0Vvzr7lt3OU09vwQwhkpOPPYv2Y/edit?usp=sharing"",""งบพรบ!BT17"")"),0)</f>
        <v>0</v>
      </c>
      <c r="M148" s="230">
        <f ca="1">IFERROR(__xludf.DUMMYFUNCTION("IMPORTRANGE(""https://docs.google.com/spreadsheets/d/1-uDff_7J0KD5mKrp0Vvzr7lt3OU09vwQwhkpOPPYv2Y/edit?usp=sharing"",""งบพรบ!BW17"")"),0)</f>
        <v>0</v>
      </c>
      <c r="N148" s="230">
        <f ca="1">IFERROR(__xludf.DUMMYFUNCTION("IMPORTRANGE(""https://docs.google.com/spreadsheets/d/1-uDff_7J0KD5mKrp0Vvzr7lt3OU09vwQwhkpOPPYv2Y/edit?usp=sharing"",""งบพรบ!BY17"")"),0)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IFERROR(__xludf.DUMMYFUNCTION("IMPORTRANGE(""https://docs.google.com/spreadsheets/d/1eHaY18a8A9IcSdp1K8H6x8fbOy06t2VsZHhMHf-1x7Y/edit?usp=sharing"",""แผน!U17"")"),0)</f>
        <v>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IFERROR(__xludf.DUMMYFUNCTION("IMPORTRANGE(""https://docs.google.com/spreadsheets/d/1eHaY18a8A9IcSdp1K8H6x8fbOy06t2VsZHhMHf-1x7Y/edit?usp=sharing"",""แผน!V17"")"),0)</f>
        <v>0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IFERROR(__xludf.DUMMYFUNCTION("IMPORTRANGE(""https://docs.google.com/spreadsheets/d/1eHaY18a8A9IcSdp1K8H6x8fbOy06t2VsZHhMHf-1x7Y/edit?usp=sharing"",""แผน!W17"")"),20)</f>
        <v>20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IFERROR(__xludf.DUMMYFUNCTION("IMPORTRANGE(""https://docs.google.com/spreadsheets/d/1eHaY18a8A9IcSdp1K8H6x8fbOy06t2VsZHhMHf-1x7Y/edit?usp=sharing"",""แผน!X17"")"),2)</f>
        <v>2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IFERROR(__xludf.DUMMYFUNCTION("IMPORTRANGE(""https://docs.google.com/spreadsheets/d/1eHaY18a8A9IcSdp1K8H6x8fbOy06t2VsZHhMHf-1x7Y/edit?usp=sharing"",""แผน!Y17"")"),0)</f>
        <v>0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I168</f>
        <v>10</v>
      </c>
      <c r="J157" s="511">
        <f t="shared" si="102"/>
        <v>24</v>
      </c>
      <c r="K157" s="474">
        <f ca="1">IF(I157&gt;0,J157*100/I157,0)</f>
        <v>240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3000</v>
      </c>
      <c r="M158" s="515">
        <f t="shared" ca="1" si="103"/>
        <v>2250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3000</v>
      </c>
      <c r="M160" s="230">
        <f t="shared" ca="1" si="109"/>
        <v>2250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3000</v>
      </c>
      <c r="M161" s="230">
        <f t="shared" ca="1" si="111"/>
        <v>2250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IFERROR(__xludf.DUMMYFUNCTION("IMPORTRANGE(""https://docs.google.com/spreadsheets/d/1-uDff_7J0KD5mKrp0Vvzr7lt3OU09vwQwhkpOPPYv2Y/edit?usp=sharing"",""งบพรบ!CA17"")"),3000)</f>
        <v>3000</v>
      </c>
      <c r="M163" s="230">
        <f ca="1">IFERROR(__xludf.DUMMYFUNCTION("IMPORTRANGE(""https://docs.google.com/spreadsheets/d/1-uDff_7J0KD5mKrp0Vvzr7lt3OU09vwQwhkpOPPYv2Y/edit?usp=sharing"",""งบพรบ!CF17"")"),2250)</f>
        <v>2250</v>
      </c>
      <c r="N163" s="230">
        <f ca="1">IFERROR(__xludf.DUMMYFUNCTION("IMPORTRANGE(""https://docs.google.com/spreadsheets/d/1-uDff_7J0KD5mKrp0Vvzr7lt3OU09vwQwhkpOPPYv2Y/edit?usp=sharing"",""งบพรบ!CH17"")"),0)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IFERROR(__xludf.DUMMYFUNCTION("IMPORTRANGE(""https://docs.google.com/spreadsheets/d/1ItG2mGa2ceCfYo0BwxsXqNm01IGEUdYcSSLTEv9YCik/edit?usp=sharing"",""เบิกจ่ายกองทุน!AG17"")"),0)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IFERROR(__xludf.DUMMYFUNCTION("IMPORTRANGE(""https://docs.google.com/spreadsheets/d/1ItG2mGa2ceCfYo0BwxsXqNm01IGEUdYcSSLTEv9YCik/edit?usp=sharing"",""เบิกจ่ายกองทุน!AH17"")"),0)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IFERROR(__xludf.DUMMYFUNCTION("IMPORTRANGE(""https://docs.google.com/spreadsheets/d/1ItG2mGa2ceCfYo0BwxsXqNm01IGEUdYcSSLTEv9YCik/edit?usp=sharing"",""เบิกจ่ายกองทุน!AI17"")"),0)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IFERROR(__xludf.DUMMYFUNCTION("IMPORTRANGE(""https://docs.google.com/spreadsheets/d/1-uDff_7J0KD5mKrp0Vvzr7lt3OU09vwQwhkpOPPYv2Y/edit?usp=sharing"",""งบพรบ!CD17"")"),0)</f>
        <v>0</v>
      </c>
      <c r="M166" s="230">
        <f ca="1">IFERROR(__xludf.DUMMYFUNCTION("IMPORTRANGE(""https://docs.google.com/spreadsheets/d/1-uDff_7J0KD5mKrp0Vvzr7lt3OU09vwQwhkpOPPYv2Y/edit?usp=sharing"",""งบพรบ!CG17"")"),0)</f>
        <v>0</v>
      </c>
      <c r="N166" s="230">
        <f ca="1">IFERROR(__xludf.DUMMYFUNCTION("IMPORTRANGE(""https://docs.google.com/spreadsheets/d/1-uDff_7J0KD5mKrp0Vvzr7lt3OU09vwQwhkpOPPYv2Y/edit?usp=sharing"",""งบพรบ!CI17"")"),0)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IFERROR(__xludf.DUMMYFUNCTION("IMPORTRANGE(""https://docs.google.com/spreadsheets/d/1eHaY18a8A9IcSdp1K8H6x8fbOy06t2VsZHhMHf-1x7Y/edit?usp=sharing"",""แผน!Z17"")"),10)</f>
        <v>10</v>
      </c>
      <c r="J168" s="520">
        <v>24</v>
      </c>
      <c r="K168" s="230">
        <f t="shared" ref="K168:K170" ca="1" si="115">IF(I168&gt;0,J168*100/I168,0)</f>
        <v>240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38220</v>
      </c>
      <c r="N174" s="515">
        <f t="shared" ca="1" si="117"/>
        <v>19590</v>
      </c>
      <c r="O174" s="515">
        <f t="shared" ref="O174:O182" ca="1" si="118">IF(L174&gt;0,N174*100/L174,0)</f>
        <v>100</v>
      </c>
      <c r="P174" s="515">
        <f t="shared" ref="P174:P182" ca="1" si="119">IF(M174&gt;0,N174*100/M174,0)</f>
        <v>51.255886970172682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38220</v>
      </c>
      <c r="N176" s="230">
        <f t="shared" ca="1" si="123"/>
        <v>19590</v>
      </c>
      <c r="O176" s="230">
        <f t="shared" ca="1" si="118"/>
        <v>100</v>
      </c>
      <c r="P176" s="230">
        <f t="shared" ca="1" si="119"/>
        <v>51.255886970172682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38220</v>
      </c>
      <c r="N177" s="230">
        <f t="shared" ca="1" si="125"/>
        <v>19590</v>
      </c>
      <c r="O177" s="230">
        <f t="shared" ca="1" si="118"/>
        <v>100</v>
      </c>
      <c r="P177" s="230">
        <f t="shared" ca="1" si="119"/>
        <v>51.255886970172682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IFERROR(__xludf.DUMMYFUNCTION("IMPORTRANGE(""https://docs.google.com/spreadsheets/d/1-uDff_7J0KD5mKrp0Vvzr7lt3OU09vwQwhkpOPPYv2Y/edit?usp=sharing"",""งบพรบ!CK17"")"),19590)</f>
        <v>19590</v>
      </c>
      <c r="M179" s="230">
        <f ca="1">IFERROR(__xludf.DUMMYFUNCTION("IMPORTRANGE(""https://docs.google.com/spreadsheets/d/1-uDff_7J0KD5mKrp0Vvzr7lt3OU09vwQwhkpOPPYv2Y/edit?usp=sharing"",""งบพรบ!CP17"")"),38220)</f>
        <v>38220</v>
      </c>
      <c r="N179" s="230">
        <f ca="1">IFERROR(__xludf.DUMMYFUNCTION("IMPORTRANGE(""https://docs.google.com/spreadsheets/d/1-uDff_7J0KD5mKrp0Vvzr7lt3OU09vwQwhkpOPPYv2Y/edit?usp=sharing"",""งบพรบ!CR17"")"),19590)</f>
        <v>19590</v>
      </c>
      <c r="O179" s="230">
        <f t="shared" ca="1" si="118"/>
        <v>100</v>
      </c>
      <c r="P179" s="230">
        <f t="shared" ca="1" si="119"/>
        <v>51.255886970172682</v>
      </c>
      <c r="Q179" s="230">
        <f ca="1">IFERROR(__xludf.DUMMYFUNCTION("IMPORTRANGE(""https://docs.google.com/spreadsheets/d/1ItG2mGa2ceCfYo0BwxsXqNm01IGEUdYcSSLTEv9YCik/edit?usp=sharing"",""เบิกจ่ายกองทุน!BE17"")"),0)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IFERROR(__xludf.DUMMYFUNCTION("IMPORTRANGE(""https://docs.google.com/spreadsheets/d/1ItG2mGa2ceCfYo0BwxsXqNm01IGEUdYcSSLTEv9YCik/edit?usp=sharing"",""เบิกจ่ายกองทุน!BF17"")"),0)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IFERROR(__xludf.DUMMYFUNCTION("IMPORTRANGE(""https://docs.google.com/spreadsheets/d/1ItG2mGa2ceCfYo0BwxsXqNm01IGEUdYcSSLTEv9YCik/edit?usp=sharing"",""เบิกจ่ายกองทุน!BG17"")"),0)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IFERROR(__xludf.DUMMYFUNCTION("IMPORTRANGE(""https://docs.google.com/spreadsheets/d/1-uDff_7J0KD5mKrp0Vvzr7lt3OU09vwQwhkpOPPYv2Y/edit?usp=sharing"",""งบพรบ!CN17"")"),0)</f>
        <v>0</v>
      </c>
      <c r="M182" s="230">
        <f ca="1">IFERROR(__xludf.DUMMYFUNCTION("IMPORTRANGE(""https://docs.google.com/spreadsheets/d/1-uDff_7J0KD5mKrp0Vvzr7lt3OU09vwQwhkpOPPYv2Y/edit?usp=sharing"",""งบพรบ!CQ17"")"),0)</f>
        <v>0</v>
      </c>
      <c r="N182" s="230">
        <f ca="1">IFERROR(__xludf.DUMMYFUNCTION("IMPORTRANGE(""https://docs.google.com/spreadsheets/d/1-uDff_7J0KD5mKrp0Vvzr7lt3OU09vwQwhkpOPPYv2Y/edit?usp=sharing"",""งบพรบ!CS17"")"),0)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IFERROR(__xludf.DUMMYFUNCTION("IMPORTRANGE(""https://docs.google.com/spreadsheets/d/1eHaY18a8A9IcSdp1K8H6x8fbOy06t2VsZHhMHf-1x7Y/edit?usp=sharing"",""แผน!AA17"")"),7)</f>
        <v>7</v>
      </c>
      <c r="J184" s="520">
        <v>7</v>
      </c>
      <c r="K184" s="230">
        <f t="shared" ref="K184:K186" ca="1" si="129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214500</v>
      </c>
      <c r="M187" s="515">
        <f t="shared" ca="1" si="131"/>
        <v>214500</v>
      </c>
      <c r="N187" s="515">
        <f t="shared" ca="1" si="131"/>
        <v>85880</v>
      </c>
      <c r="O187" s="515">
        <f t="shared" ref="O187:O195" ca="1" si="132">IF(L187&gt;0,N187*100/L187,0)</f>
        <v>40.037296037296038</v>
      </c>
      <c r="P187" s="515">
        <f t="shared" ref="P187:P195" ca="1" si="133">IF(M187&gt;0,N187*100/M187,0)</f>
        <v>40.037296037296038</v>
      </c>
      <c r="Q187" s="515">
        <f t="shared" ref="Q187:S187" ca="1" si="134">Q188+Q189</f>
        <v>34000</v>
      </c>
      <c r="R187" s="515">
        <f t="shared" ca="1" si="134"/>
        <v>34000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214500</v>
      </c>
      <c r="M189" s="230">
        <f t="shared" ca="1" si="137"/>
        <v>214500</v>
      </c>
      <c r="N189" s="230">
        <f t="shared" ca="1" si="137"/>
        <v>85880</v>
      </c>
      <c r="O189" s="230">
        <f t="shared" ca="1" si="132"/>
        <v>40.037296037296038</v>
      </c>
      <c r="P189" s="230">
        <f t="shared" ca="1" si="133"/>
        <v>40.037296037296038</v>
      </c>
      <c r="Q189" s="230">
        <f t="shared" ca="1" si="138"/>
        <v>34000</v>
      </c>
      <c r="R189" s="230">
        <f t="shared" ca="1" si="138"/>
        <v>34000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214500</v>
      </c>
      <c r="M190" s="230">
        <f t="shared" ca="1" si="139"/>
        <v>214500</v>
      </c>
      <c r="N190" s="230">
        <f t="shared" ca="1" si="139"/>
        <v>85880</v>
      </c>
      <c r="O190" s="230">
        <f t="shared" ca="1" si="132"/>
        <v>40.037296037296038</v>
      </c>
      <c r="P190" s="230">
        <f t="shared" ca="1" si="133"/>
        <v>40.037296037296038</v>
      </c>
      <c r="Q190" s="230">
        <f t="shared" ref="Q190:S190" ca="1" si="140">Q191+Q192</f>
        <v>34000</v>
      </c>
      <c r="R190" s="230">
        <f t="shared" ca="1" si="140"/>
        <v>34000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IFERROR(__xludf.DUMMYFUNCTION("IMPORTRANGE(""https://docs.google.com/spreadsheets/d/1-uDff_7J0KD5mKrp0Vvzr7lt3OU09vwQwhkpOPPYv2Y/edit?usp=sharing"",""งบพรบ!CU17"")"),214500)</f>
        <v>214500</v>
      </c>
      <c r="M192" s="230">
        <f ca="1">IFERROR(__xludf.DUMMYFUNCTION("IMPORTRANGE(""https://docs.google.com/spreadsheets/d/1-uDff_7J0KD5mKrp0Vvzr7lt3OU09vwQwhkpOPPYv2Y/edit?usp=sharing"",""งบพรบ!CZ17"")"),214500)</f>
        <v>214500</v>
      </c>
      <c r="N192" s="230">
        <f ca="1">IFERROR(__xludf.DUMMYFUNCTION("IMPORTRANGE(""https://docs.google.com/spreadsheets/d/1-uDff_7J0KD5mKrp0Vvzr7lt3OU09vwQwhkpOPPYv2Y/edit?usp=sharing"",""งบพรบ!DB17"")"),85880)</f>
        <v>85880</v>
      </c>
      <c r="O192" s="230">
        <f t="shared" ca="1" si="132"/>
        <v>40.037296037296038</v>
      </c>
      <c r="P192" s="230">
        <f t="shared" ca="1" si="133"/>
        <v>40.037296037296038</v>
      </c>
      <c r="Q192" s="230">
        <f ca="1">IFERROR(__xludf.DUMMYFUNCTION("IMPORTRANGE(""https://docs.google.com/spreadsheets/d/1ItG2mGa2ceCfYo0BwxsXqNm01IGEUdYcSSLTEv9YCik/edit?usp=sharing"",""เบิกจ่ายกองทุน!AV17"")"),34000)</f>
        <v>34000</v>
      </c>
      <c r="R192" s="230">
        <f ca="1">IFERROR(__xludf.DUMMYFUNCTION("IMPORTRANGE(""https://docs.google.com/spreadsheets/d/1ItG2mGa2ceCfYo0BwxsXqNm01IGEUdYcSSLTEv9YCik/edit?usp=sharing"",""เบิกจ่ายกองทุน!AW17"")"),34000)</f>
        <v>34000</v>
      </c>
      <c r="S192" s="230">
        <f ca="1">IFERROR(__xludf.DUMMYFUNCTION("IMPORTRANGE(""https://docs.google.com/spreadsheets/d/1ItG2mGa2ceCfYo0BwxsXqNm01IGEUdYcSSLTEv9YCik/edit?usp=sharing"",""เบิกจ่ายกองทุน!AX17"")"),0)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IFERROR(__xludf.DUMMYFUNCTION("IMPORTRANGE(""https://docs.google.com/spreadsheets/d/1-uDff_7J0KD5mKrp0Vvzr7lt3OU09vwQwhkpOPPYv2Y/edit?usp=sharing"",""งบพรบ!CX17"")"),0)</f>
        <v>0</v>
      </c>
      <c r="M195" s="230">
        <f ca="1">IFERROR(__xludf.DUMMYFUNCTION("IMPORTRANGE(""https://docs.google.com/spreadsheets/d/1-uDff_7J0KD5mKrp0Vvzr7lt3OU09vwQwhkpOPPYv2Y/edit?usp=sharing"",""งบพรบ!DA17"")"),0)</f>
        <v>0</v>
      </c>
      <c r="N195" s="230">
        <f ca="1">IFERROR(__xludf.DUMMYFUNCTION("IMPORTRANGE(""https://docs.google.com/spreadsheets/d/1-uDff_7J0KD5mKrp0Vvzr7lt3OU09vwQwhkpOPPYv2Y/edit?usp=sharing"",""งบพรบ!DC17"")"),0)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IFERROR(__xludf.DUMMYFUNCTION("IMPORTRANGE(""https://docs.google.com/spreadsheets/d/1eHaY18a8A9IcSdp1K8H6x8fbOy06t2VsZHhMHf-1x7Y/edit?usp=sharing"",""แผน!AB17"")"),6000)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IFERROR(__xludf.DUMMYFUNCTION("IMPORTRANGE(""https://docs.google.com/spreadsheets/d/1eHaY18a8A9IcSdp1K8H6x8fbOy06t2VsZHhMHf-1x7Y/edit?usp=sharing"",""แผน!AE17"")"),4)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22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22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1</v>
      </c>
      <c r="J203" s="313">
        <f t="shared" si="144"/>
        <v>1</v>
      </c>
      <c r="K203" s="314">
        <f ca="1">IF(I203&gt;0,J203*100/I203,0)</f>
        <v>100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18000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IFERROR(__xludf.DUMMYFUNCTION("IMPORTRANGE(""https://docs.google.com/spreadsheets/d/1eHaY18a8A9IcSdp1K8H6x8fbOy06t2VsZHhMHf-1x7Y/edit?usp=sharing"",""แผน!AG17"")"),1000)</f>
        <v>1000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IFERROR(__xludf.DUMMYFUNCTION("IMPORTRANGE(""https://docs.google.com/spreadsheets/d/1eHaY18a8A9IcSdp1K8H6x8fbOy06t2VsZHhMHf-1x7Y/edit?usp=sharing"",""แผน!AH17"")"),0)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IFERROR(__xludf.DUMMYFUNCTION("IMPORTRANGE(""https://docs.google.com/spreadsheets/d/1eHaY18a8A9IcSdp1K8H6x8fbOy06t2VsZHhMHf-1x7Y/edit?usp=sharing"",""แผน!AI17"")"),8000)</f>
        <v>8000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IFERROR(__xludf.DUMMYFUNCTION("IMPORTRANGE(""https://docs.google.com/spreadsheets/d/1eHaY18a8A9IcSdp1K8H6x8fbOy06t2VsZHhMHf-1x7Y/edit?usp=sharing"",""แผน!AJ17"")"),9000)</f>
        <v>9000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IFERROR(__xludf.DUMMYFUNCTION("IMPORTRANGE(""https://docs.google.com/spreadsheets/d/1eHaY18a8A9IcSdp1K8H6x8fbOy06t2VsZHhMHf-1x7Y/edit?usp=sharing"",""แผน!AK17"")"),1)</f>
        <v>1</v>
      </c>
      <c r="J210" s="520">
        <v>1</v>
      </c>
      <c r="K210" s="521">
        <f ca="1">IF(I210&gt;0,J210*100/I210,0)</f>
        <v>100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IFERROR(__xludf.DUMMYFUNCTION("IMPORTRANGE(""https://docs.google.com/spreadsheets/d/1eHaY18a8A9IcSdp1K8H6x8fbOy06t2VsZHhMHf-1x7Y/edit?usp=sharing"",""แผน!JX17"")"),1)</f>
        <v>1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IFERROR(__xludf.DUMMYFUNCTION("IMPORTRANGE(""https://docs.google.com/spreadsheets/d/1eHaY18a8A9IcSdp1K8H6x8fbOy06t2VsZHhMHf-1x7Y/edit?usp=sharing"",""แผน!JY17"")"),1)</f>
        <v>1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IFERROR(__xludf.DUMMYFUNCTION("IMPORTRANGE(""https://docs.google.com/spreadsheets/d/1eHaY18a8A9IcSdp1K8H6x8fbOy06t2VsZHhMHf-1x7Y/edit?usp=sharing"",""แผน!AM17"")"),0)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IFERROR(__xludf.DUMMYFUNCTION("IMPORTRANGE(""https://docs.google.com/spreadsheets/d/1eHaY18a8A9IcSdp1K8H6x8fbOy06t2VsZHhMHf-1x7Y/edit?usp=sharing"",""แผน!AN17"")"),0)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IFERROR(__xludf.DUMMYFUNCTION("IMPORTRANGE(""https://docs.google.com/spreadsheets/d/1eHaY18a8A9IcSdp1K8H6x8fbOy06t2VsZHhMHf-1x7Y/edit?usp=sharing"",""แผน!AO17"")"),0)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IFERROR(__xludf.DUMMYFUNCTION("IMPORTRANGE(""https://docs.google.com/spreadsheets/d/1eHaY18a8A9IcSdp1K8H6x8fbOy06t2VsZHhMHf-1x7Y/edit?usp=sharing"",""แผน!AP17"")"),0)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IFERROR(__xludf.DUMMYFUNCTION("IMPORTRANGE(""https://docs.google.com/spreadsheets/d/1eHaY18a8A9IcSdp1K8H6x8fbOy06t2VsZHhMHf-1x7Y/edit?usp=sharing"",""แผน!AP17"")"),0)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50000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IFERROR(__xludf.DUMMYFUNCTION("IMPORTRANGE(""https://docs.google.com/spreadsheets/d/1eHaY18a8A9IcSdp1K8H6x8fbOy06t2VsZHhMHf-1x7Y/edit?usp=sharing"",""แผน!AR17"")"),7000)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IFERROR(__xludf.DUMMYFUNCTION("IMPORTRANGE(""https://docs.google.com/spreadsheets/d/1eHaY18a8A9IcSdp1K8H6x8fbOy06t2VsZHhMHf-1x7Y/edit?usp=sharing"",""แผน!AS17"")"),1500)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IFERROR(__xludf.DUMMYFUNCTION("IMPORTRANGE(""https://docs.google.com/spreadsheets/d/1eHaY18a8A9IcSdp1K8H6x8fbOy06t2VsZHhMHf-1x7Y/edit?usp=sharing"",""แผน!AT17"")"),0)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IFERROR(__xludf.DUMMYFUNCTION("IMPORTRANGE(""https://docs.google.com/spreadsheets/d/1eHaY18a8A9IcSdp1K8H6x8fbOy06t2VsZHhMHf-1x7Y/edit?usp=sharing"",""แผน!AV17"")"),50000)</f>
        <v>50000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IFERROR(__xludf.DUMMYFUNCTION("IMPORTRANGE(""https://docs.google.com/spreadsheets/d/1eHaY18a8A9IcSdp1K8H6x8fbOy06t2VsZHhMHf-1x7Y/edit?usp=sharing"",""แผน!AV17"")"),50000)</f>
        <v>50000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IFERROR(__xludf.DUMMYFUNCTION("IMPORTRANGE(""https://docs.google.com/spreadsheets/d/1eHaY18a8A9IcSdp1K8H6x8fbOy06t2VsZHhMHf-1x7Y/edit?usp=sharing"",""แผน!AU17"")"),0)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0">I243+I254</f>
        <v>0</v>
      </c>
      <c r="J232" s="313">
        <f t="shared" si="150"/>
        <v>0</v>
      </c>
      <c r="K232" s="314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1">L244+L255</f>
        <v>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1"/>
        <v>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1"/>
        <v>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1"/>
        <v>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1"/>
        <v>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3">I250+I261</f>
        <v>0</v>
      </c>
      <c r="J239" s="189">
        <f t="shared" si="153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4">I252+I263</f>
        <v>0</v>
      </c>
      <c r="J241" s="189">
        <f t="shared" si="154"/>
        <v>0</v>
      </c>
      <c r="K241" s="230">
        <f t="shared" ref="K241:K243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4"/>
        <v>0</v>
      </c>
      <c r="J242" s="189">
        <f t="shared" si="154"/>
        <v>0</v>
      </c>
      <c r="K242" s="230">
        <f t="shared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6">I250</f>
        <v>0</v>
      </c>
      <c r="J243" s="547">
        <f t="shared" si="156"/>
        <v>0</v>
      </c>
      <c r="K243" s="548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IFERROR(__xludf.DUMMYFUNCTION("IMPORTRANGE(""https://docs.google.com/spreadsheets/d/1eHaY18a8A9IcSdp1K8H6x8fbOy06t2VsZHhMHf-1x7Y/edit?usp=sharing"",""แผน!AX17"")"),0)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IFERROR(__xludf.DUMMYFUNCTION("IMPORTRANGE(""https://docs.google.com/spreadsheets/d/1eHaY18a8A9IcSdp1K8H6x8fbOy06t2VsZHhMHf-1x7Y/edit?usp=sharing"",""แผน!AY17"")"),0)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IFERROR(__xludf.DUMMYFUNCTION("IMPORTRANGE(""https://docs.google.com/spreadsheets/d/1eHaY18a8A9IcSdp1K8H6x8fbOy06t2VsZHhMHf-1x7Y/edit?usp=sharing"",""แผน!AZ17"")"),0)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IFERROR(__xludf.DUMMYFUNCTION("IMPORTRANGE(""https://docs.google.com/spreadsheets/d/1eHaY18a8A9IcSdp1K8H6x8fbOy06t2VsZHhMHf-1x7Y/edit?usp=sharing"",""แผน!BA17"")"),0)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IFERROR(__xludf.DUMMYFUNCTION("IMPORTRANGE(""https://docs.google.com/spreadsheets/d/1eHaY18a8A9IcSdp1K8H6x8fbOy06t2VsZHhMHf-1x7Y/edit?usp=sharing"",""แผน!BG17"")"),0)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IFERROR(__xludf.DUMMYFUNCTION("IMPORTRANGE(""https://docs.google.com/spreadsheets/d/1eHaY18a8A9IcSdp1K8H6x8fbOy06t2VsZHhMHf-1x7Y/edit?usp=sharing"",""แผน!BB17"")"),0)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IFERROR(__xludf.DUMMYFUNCTION("IMPORTRANGE(""https://docs.google.com/spreadsheets/d/1eHaY18a8A9IcSdp1K8H6x8fbOy06t2VsZHhMHf-1x7Y/edit?usp=sharing"",""แผน!BC17"")"),0)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IFERROR(__xludf.DUMMYFUNCTION("IMPORTRANGE(""https://docs.google.com/spreadsheets/d/1eHaY18a8A9IcSdp1K8H6x8fbOy06t2VsZHhMHf-1x7Y/edit?usp=sharing"",""แผน!BD17"")"),0)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IFERROR(__xludf.DUMMYFUNCTION("IMPORTRANGE(""https://docs.google.com/spreadsheets/d/1eHaY18a8A9IcSdp1K8H6x8fbOy06t2VsZHhMHf-1x7Y/edit?usp=sharing"",""แผน!BE17"")"),0)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IFERROR(__xludf.DUMMYFUNCTION("IMPORTRANGE(""https://docs.google.com/spreadsheets/d/1eHaY18a8A9IcSdp1K8H6x8fbOy06t2VsZHhMHf-1x7Y/edit?usp=sharing"",""แผน!BH17"")"),0)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22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50660</v>
      </c>
      <c r="R267" s="583">
        <f t="shared" ca="1" si="164"/>
        <v>50660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50660</v>
      </c>
      <c r="R269" s="592">
        <f t="shared" ca="1" si="168"/>
        <v>50660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50660</v>
      </c>
      <c r="R270" s="592">
        <f t="shared" ca="1" si="170"/>
        <v>50660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IFERROR(__xludf.DUMMYFUNCTION("IMPORTRANGE(""https://docs.google.com/spreadsheets/d/1-uDff_7J0KD5mKrp0Vvzr7lt3OU09vwQwhkpOPPYv2Y/edit?usp=sharing"",""งบพรบ!DE17"")"),0)</f>
        <v>0</v>
      </c>
      <c r="M272" s="592">
        <f ca="1">IFERROR(__xludf.DUMMYFUNCTION("IMPORTRANGE(""https://docs.google.com/spreadsheets/d/1-uDff_7J0KD5mKrp0Vvzr7lt3OU09vwQwhkpOPPYv2Y/edit?usp=sharing"",""งบพรบ!DJ17"")"),5000)</f>
        <v>5000</v>
      </c>
      <c r="N272" s="592">
        <f ca="1">IFERROR(__xludf.DUMMYFUNCTION("IMPORTRANGE(""https://docs.google.com/spreadsheets/d/1-uDff_7J0KD5mKrp0Vvzr7lt3OU09vwQwhkpOPPYv2Y/edit?usp=sharing"",""งบพรบ!DL17"")"),0)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IFERROR(__xludf.DUMMYFUNCTION("IMPORTRANGE(""https://docs.google.com/spreadsheets/d/1ItG2mGa2ceCfYo0BwxsXqNm01IGEUdYcSSLTEv9YCik/edit?usp=sharing"",""เบิกจ่ายกองทุน!AJ17"")"),50660)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IFERROR(__xludf.DUMMYFUNCTION("IMPORTRANGE(""https://docs.google.com/spreadsheets/d/1ItG2mGa2ceCfYo0BwxsXqNm01IGEUdYcSSLTEv9YCik/edit?usp=sharing"",""เบิกจ่ายกองทุน!AK17"")"),50660)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IFERROR(__xludf.DUMMYFUNCTION("IMPORTRANGE(""https://docs.google.com/spreadsheets/d/1ItG2mGa2ceCfYo0BwxsXqNm01IGEUdYcSSLTEv9YCik/edit?usp=sharing"",""เบิกจ่ายกองทุน!AL17"")"),0)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IFERROR(__xludf.DUMMYFUNCTION("IMPORTRANGE(""https://docs.google.com/spreadsheets/d/1-uDff_7J0KD5mKrp0Vvzr7lt3OU09vwQwhkpOPPYv2Y/edit?usp=sharing"",""งบพรบ!DH17"")"),0)</f>
        <v>0</v>
      </c>
      <c r="M275" s="592">
        <f ca="1">IFERROR(__xludf.DUMMYFUNCTION("IMPORTRANGE(""https://docs.google.com/spreadsheets/d/1-uDff_7J0KD5mKrp0Vvzr7lt3OU09vwQwhkpOPPYv2Y/edit?usp=sharing"",""งบพรบ!DK17"")"),0)</f>
        <v>0</v>
      </c>
      <c r="N275" s="592">
        <f ca="1">IFERROR(__xludf.DUMMYFUNCTION("IMPORTRANGE(""https://docs.google.com/spreadsheets/d/1-uDff_7J0KD5mKrp0Vvzr7lt3OU09vwQwhkpOPPYv2Y/edit?usp=sharing"",""งบพรบ!DM17"")"),0)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IFERROR(__xludf.DUMMYFUNCTION("IMPORTRANGE(""https://docs.google.com/spreadsheets/d/1eHaY18a8A9IcSdp1K8H6x8fbOy06t2VsZHhMHf-1x7Y/edit?usp=sharing"",""แผน!EC17"")"),22)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20</v>
      </c>
      <c r="J281" s="619">
        <f t="shared" si="173"/>
        <v>20</v>
      </c>
      <c r="K281" s="620">
        <f t="shared" ref="K281:K282" ca="1" si="174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200</v>
      </c>
      <c r="J282" s="619">
        <f t="shared" si="175"/>
        <v>0</v>
      </c>
      <c r="K282" s="620">
        <f t="shared" ca="1" si="174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71120</v>
      </c>
      <c r="M283" s="515">
        <f t="shared" ca="1" si="176"/>
        <v>71120</v>
      </c>
      <c r="N283" s="515">
        <f t="shared" ca="1" si="176"/>
        <v>25250</v>
      </c>
      <c r="O283" s="515">
        <f t="shared" ref="O283:O291" ca="1" si="177">IF(L283&gt;0,N283*100/L283,0)</f>
        <v>35.503374578177727</v>
      </c>
      <c r="P283" s="515">
        <f t="shared" ref="P283:P291" ca="1" si="178">IF(M283&gt;0,N283*100/M283,0)</f>
        <v>35.503374578177727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71120</v>
      </c>
      <c r="M285" s="230">
        <f t="shared" ca="1" si="182"/>
        <v>71120</v>
      </c>
      <c r="N285" s="230">
        <f t="shared" ca="1" si="182"/>
        <v>25250</v>
      </c>
      <c r="O285" s="230">
        <f t="shared" ca="1" si="177"/>
        <v>35.503374578177727</v>
      </c>
      <c r="P285" s="230">
        <f t="shared" ca="1" si="178"/>
        <v>35.503374578177727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71120</v>
      </c>
      <c r="M286" s="230">
        <f t="shared" ca="1" si="184"/>
        <v>71120</v>
      </c>
      <c r="N286" s="230">
        <f t="shared" ca="1" si="184"/>
        <v>25250</v>
      </c>
      <c r="O286" s="230">
        <f t="shared" ca="1" si="177"/>
        <v>35.503374578177727</v>
      </c>
      <c r="P286" s="230">
        <f t="shared" ca="1" si="178"/>
        <v>35.503374578177727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IFERROR(__xludf.DUMMYFUNCTION("IMPORTRANGE(""https://docs.google.com/spreadsheets/d/1-uDff_7J0KD5mKrp0Vvzr7lt3OU09vwQwhkpOPPYv2Y/edit?usp=sharing"",""งบพรบ!DO17"")"),71120)</f>
        <v>71120</v>
      </c>
      <c r="M288" s="230">
        <f ca="1">IFERROR(__xludf.DUMMYFUNCTION("IMPORTRANGE(""https://docs.google.com/spreadsheets/d/1-uDff_7J0KD5mKrp0Vvzr7lt3OU09vwQwhkpOPPYv2Y/edit?usp=sharing"",""งบพรบ!DT17"")"),71120)</f>
        <v>71120</v>
      </c>
      <c r="N288" s="230">
        <f ca="1">IFERROR(__xludf.DUMMYFUNCTION("IMPORTRANGE(""https://docs.google.com/spreadsheets/d/1-uDff_7J0KD5mKrp0Vvzr7lt3OU09vwQwhkpOPPYv2Y/edit?usp=sharing"",""งบพรบ!DV17"")"),25250)</f>
        <v>25250</v>
      </c>
      <c r="O288" s="230">
        <f t="shared" ca="1" si="177"/>
        <v>35.503374578177727</v>
      </c>
      <c r="P288" s="230">
        <f t="shared" ca="1" si="178"/>
        <v>35.503374578177727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IFERROR(__xludf.DUMMYFUNCTION("IMPORTRANGE(""https://docs.google.com/spreadsheets/d/1-uDff_7J0KD5mKrp0Vvzr7lt3OU09vwQwhkpOPPYv2Y/edit?usp=sharing"",""งบพรบ!DR17"")"),0)</f>
        <v>0</v>
      </c>
      <c r="M291" s="230">
        <f ca="1">IFERROR(__xludf.DUMMYFUNCTION("IMPORTRANGE(""https://docs.google.com/spreadsheets/d/1-uDff_7J0KD5mKrp0Vvzr7lt3OU09vwQwhkpOPPYv2Y/edit?usp=sharing"",""งบพรบ!DU17"")"),0)</f>
        <v>0</v>
      </c>
      <c r="N291" s="230">
        <f ca="1">IFERROR(__xludf.DUMMYFUNCTION("IMPORTRANGE(""https://docs.google.com/spreadsheets/d/1-uDff_7J0KD5mKrp0Vvzr7lt3OU09vwQwhkpOPPYv2Y/edit?usp=sharing"",""งบพรบ!DW17"")"),0)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IFERROR(__xludf.DUMMYFUNCTION("IMPORTRANGE(""https://docs.google.com/spreadsheets/d/1eHaY18a8A9IcSdp1K8H6x8fbOy06t2VsZHhMHf-1x7Y/edit?usp=sharing"",""แผน!EE17"")"),200)</f>
        <v>200</v>
      </c>
      <c r="J293" s="520">
        <v>0</v>
      </c>
      <c r="K293" s="521">
        <f t="shared" ref="K293:K294" ca="1" si="188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IFERROR(__xludf.DUMMYFUNCTION("IMPORTRANGE(""https://docs.google.com/spreadsheets/d/1eHaY18a8A9IcSdp1K8H6x8fbOy06t2VsZHhMHf-1x7Y/edit?usp=sharing"",""แผน!ED17"")"),20)</f>
        <v>20</v>
      </c>
      <c r="J294" s="340">
        <f>J297</f>
        <v>20</v>
      </c>
      <c r="K294" s="518">
        <f t="shared" ca="1" si="188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IFERROR(__xludf.DUMMYFUNCTION("IMPORTRANGE(""https://docs.google.com/spreadsheets/d/1eHaY18a8A9IcSdp1K8H6x8fbOy06t2VsZHhMHf-1x7Y/edit?usp=sharing"",""แผน!ED17"")"),20)</f>
        <v>20</v>
      </c>
      <c r="J296" s="520">
        <v>20</v>
      </c>
      <c r="K296" s="521">
        <f t="shared" ref="K296:K297" ca="1" si="189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IFERROR(__xludf.DUMMYFUNCTION("IMPORTRANGE(""https://docs.google.com/spreadsheets/d/1eHaY18a8A9IcSdp1K8H6x8fbOy06t2VsZHhMHf-1x7Y/edit?usp=sharing"",""แผน!ED17"")"),20)</f>
        <v>20</v>
      </c>
      <c r="J297" s="520">
        <v>20</v>
      </c>
      <c r="K297" s="521">
        <f t="shared" ca="1" si="189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133500</v>
      </c>
      <c r="M304" s="515">
        <f t="shared" ca="1" si="191"/>
        <v>133500</v>
      </c>
      <c r="N304" s="515">
        <f t="shared" ca="1" si="191"/>
        <v>51863</v>
      </c>
      <c r="O304" s="515">
        <f t="shared" ref="O304:O312" ca="1" si="192">IF(L304&gt;0,N304*100/L304,0)</f>
        <v>38.848689138576781</v>
      </c>
      <c r="P304" s="515">
        <f t="shared" ref="P304:P312" ca="1" si="193">IF(M304&gt;0,N304*100/M304,0)</f>
        <v>38.848689138576781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133500</v>
      </c>
      <c r="M306" s="230">
        <f t="shared" ca="1" si="197"/>
        <v>133500</v>
      </c>
      <c r="N306" s="230">
        <f t="shared" ca="1" si="197"/>
        <v>51863</v>
      </c>
      <c r="O306" s="230">
        <f t="shared" ca="1" si="192"/>
        <v>38.848689138576781</v>
      </c>
      <c r="P306" s="230">
        <f t="shared" ca="1" si="193"/>
        <v>38.848689138576781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133500</v>
      </c>
      <c r="M307" s="230">
        <f t="shared" ca="1" si="199"/>
        <v>133500</v>
      </c>
      <c r="N307" s="230">
        <f t="shared" ca="1" si="199"/>
        <v>51863</v>
      </c>
      <c r="O307" s="230">
        <f t="shared" ca="1" si="192"/>
        <v>38.848689138576781</v>
      </c>
      <c r="P307" s="230">
        <f t="shared" ca="1" si="193"/>
        <v>38.848689138576781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IFERROR(__xludf.DUMMYFUNCTION("IMPORTRANGE(""https://docs.google.com/spreadsheets/d/1-uDff_7J0KD5mKrp0Vvzr7lt3OU09vwQwhkpOPPYv2Y/edit?usp=sharing"",""งบพรบ!DY17"")"),133500)</f>
        <v>133500</v>
      </c>
      <c r="M309" s="230">
        <f ca="1">IFERROR(__xludf.DUMMYFUNCTION("IMPORTRANGE(""https://docs.google.com/spreadsheets/d/1-uDff_7J0KD5mKrp0Vvzr7lt3OU09vwQwhkpOPPYv2Y/edit?usp=sharing"",""งบพรบ!ED17"")"),133500)</f>
        <v>133500</v>
      </c>
      <c r="N309" s="230">
        <f ca="1">IFERROR(__xludf.DUMMYFUNCTION("IMPORTRANGE(""https://docs.google.com/spreadsheets/d/1-uDff_7J0KD5mKrp0Vvzr7lt3OU09vwQwhkpOPPYv2Y/edit?usp=sharing"",""งบพรบ!EF17"")"),51863)</f>
        <v>51863</v>
      </c>
      <c r="O309" s="230">
        <f t="shared" ca="1" si="192"/>
        <v>38.848689138576781</v>
      </c>
      <c r="P309" s="230">
        <f t="shared" ca="1" si="193"/>
        <v>38.848689138576781</v>
      </c>
      <c r="Q309" s="230">
        <f ca="1">IFERROR(__xludf.DUMMYFUNCTION("IMPORTRANGE(""https://docs.google.com/spreadsheets/d/1ItG2mGa2ceCfYo0BwxsXqNm01IGEUdYcSSLTEv9YCik/edit?usp=sharing"",""เบิกจ่ายกองทุน!AP17"")"),144609.24)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IFERROR(__xludf.DUMMYFUNCTION("IMPORTRANGE(""https://docs.google.com/spreadsheets/d/1ItG2mGa2ceCfYo0BwxsXqNm01IGEUdYcSSLTEv9YCik/edit?usp=sharing"",""เบิกจ่ายกองทุน!AQ17"")"),144609)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IFERROR(__xludf.DUMMYFUNCTION("IMPORTRANGE(""https://docs.google.com/spreadsheets/d/1ItG2mGa2ceCfYo0BwxsXqNm01IGEUdYcSSLTEv9YCik/edit?usp=sharing"",""เบิกจ่ายกองทุน!AR17"")"),0)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IFERROR(__xludf.DUMMYFUNCTION("IMPORTRANGE(""https://docs.google.com/spreadsheets/d/1-uDff_7J0KD5mKrp0Vvzr7lt3OU09vwQwhkpOPPYv2Y/edit?usp=sharing"",""งบพรบ!EB17"")"),0)</f>
        <v>0</v>
      </c>
      <c r="M312" s="230">
        <f ca="1">IFERROR(__xludf.DUMMYFUNCTION("IMPORTRANGE(""https://docs.google.com/spreadsheets/d/1-uDff_7J0KD5mKrp0Vvzr7lt3OU09vwQwhkpOPPYv2Y/edit?usp=sharing"",""งบพรบ!EE17"")"),0)</f>
        <v>0</v>
      </c>
      <c r="N312" s="230">
        <f ca="1">IFERROR(__xludf.DUMMYFUNCTION("IMPORTRANGE(""https://docs.google.com/spreadsheets/d/1-uDff_7J0KD5mKrp0Vvzr7lt3OU09vwQwhkpOPPYv2Y/edit?usp=sharing"",""งบพรบ!EG17"")"),0)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IFERROR(__xludf.DUMMYFUNCTION("IMPORTRANGE(""https://docs.google.com/spreadsheets/d/1eHaY18a8A9IcSdp1K8H6x8fbOy06t2VsZHhMHf-1x7Y/edit?usp=sharing"",""แผน!EF17"")"),20)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IFERROR(__xludf.DUMMYFUNCTION("IMPORTRANGE(""https://docs.google.com/spreadsheets/d/1-uDff_7J0KD5mKrp0Vvzr7lt3OU09vwQwhkpOPPYv2Y/edit?usp=sharing"",""งบพรบ!EI17"")"),0)</f>
        <v>0</v>
      </c>
      <c r="M326" s="230">
        <f ca="1">IFERROR(__xludf.DUMMYFUNCTION("IMPORTRANGE(""https://docs.google.com/spreadsheets/d/1-uDff_7J0KD5mKrp0Vvzr7lt3OU09vwQwhkpOPPYv2Y/edit?usp=sharing"",""งบพรบ!EN17"")"),0)</f>
        <v>0</v>
      </c>
      <c r="N326" s="230">
        <f ca="1">IFERROR(__xludf.DUMMYFUNCTION("IMPORTRANGE(""https://docs.google.com/spreadsheets/d/1-uDff_7J0KD5mKrp0Vvzr7lt3OU09vwQwhkpOPPYv2Y/edit?usp=sharing"",""งบพรบ!EP17"")"),0)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IFERROR(__xludf.DUMMYFUNCTION("IMPORTRANGE(""https://docs.google.com/spreadsheets/d/1-uDff_7J0KD5mKrp0Vvzr7lt3OU09vwQwhkpOPPYv2Y/edit?usp=sharing"",""งบพรบ!EL17"")"),0)</f>
        <v>0</v>
      </c>
      <c r="M329" s="230">
        <f ca="1">IFERROR(__xludf.DUMMYFUNCTION("IMPORTRANGE(""https://docs.google.com/spreadsheets/d/1-uDff_7J0KD5mKrp0Vvzr7lt3OU09vwQwhkpOPPYv2Y/edit?usp=sharing"",""งบพรบ!EO17"")"),0)</f>
        <v>0</v>
      </c>
      <c r="N329" s="230">
        <f ca="1">IFERROR(__xludf.DUMMYFUNCTION("IMPORTRANGE(""https://docs.google.com/spreadsheets/d/1-uDff_7J0KD5mKrp0Vvzr7lt3OU09vwQwhkpOPPYv2Y/edit?usp=sharing"",""งบพรบ!EQ17"")"),0)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IFERROR(__xludf.DUMMYFUNCTION("IMPORTRANGE(""https://docs.google.com/spreadsheets/d/1eHaY18a8A9IcSdp1K8H6x8fbOy06t2VsZHhMHf-1x7Y/edit?usp=sharing"",""แผน!EJ17"")"),0)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600</v>
      </c>
      <c r="J333" s="635">
        <f ca="1">J345+J348+J349+J350+J354</f>
        <v>2329</v>
      </c>
      <c r="K333" s="636">
        <f ca="1">IF(I333&gt;0,J333*100/I333,0)</f>
        <v>388.16666666666669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105000</v>
      </c>
      <c r="M334" s="515">
        <f t="shared" ca="1" si="216"/>
        <v>110000</v>
      </c>
      <c r="N334" s="515">
        <f t="shared" ca="1" si="216"/>
        <v>48570</v>
      </c>
      <c r="O334" s="515">
        <f t="shared" ref="O334:O342" ca="1" si="217">IF(L334&gt;0,N334*100/L334,0)</f>
        <v>46.25714285714286</v>
      </c>
      <c r="P334" s="515">
        <f t="shared" ref="P334:P342" ca="1" si="218">IF(M334&gt;0,N334*100/M334,0)</f>
        <v>44.154545454545456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105000</v>
      </c>
      <c r="M336" s="230">
        <f t="shared" ca="1" si="222"/>
        <v>110000</v>
      </c>
      <c r="N336" s="230">
        <f t="shared" ca="1" si="222"/>
        <v>48570</v>
      </c>
      <c r="O336" s="230">
        <f t="shared" ca="1" si="217"/>
        <v>46.25714285714286</v>
      </c>
      <c r="P336" s="230">
        <f t="shared" ca="1" si="218"/>
        <v>44.154545454545456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105000</v>
      </c>
      <c r="M337" s="230">
        <f t="shared" ca="1" si="224"/>
        <v>110000</v>
      </c>
      <c r="N337" s="230">
        <f t="shared" ca="1" si="224"/>
        <v>48570</v>
      </c>
      <c r="O337" s="230">
        <f t="shared" ca="1" si="217"/>
        <v>46.25714285714286</v>
      </c>
      <c r="P337" s="230">
        <f t="shared" ca="1" si="218"/>
        <v>44.154545454545456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IFERROR(__xludf.DUMMYFUNCTION("IMPORTRANGE(""https://docs.google.com/spreadsheets/d/1-uDff_7J0KD5mKrp0Vvzr7lt3OU09vwQwhkpOPPYv2Y/edit?usp=sharing"",""งบพรบ!ES17"")"),105000)</f>
        <v>105000</v>
      </c>
      <c r="M339" s="230">
        <f ca="1">IFERROR(__xludf.DUMMYFUNCTION("IMPORTRANGE(""https://docs.google.com/spreadsheets/d/1-uDff_7J0KD5mKrp0Vvzr7lt3OU09vwQwhkpOPPYv2Y/edit?usp=sharing"",""งบพรบ!EX17"")"),110000)</f>
        <v>110000</v>
      </c>
      <c r="N339" s="230">
        <f ca="1">IFERROR(__xludf.DUMMYFUNCTION("IMPORTRANGE(""https://docs.google.com/spreadsheets/d/1-uDff_7J0KD5mKrp0Vvzr7lt3OU09vwQwhkpOPPYv2Y/edit?usp=sharing"",""งบพรบ!EZ17"")"),48570)</f>
        <v>48570</v>
      </c>
      <c r="O339" s="230">
        <f t="shared" ca="1" si="217"/>
        <v>46.25714285714286</v>
      </c>
      <c r="P339" s="230">
        <f t="shared" ca="1" si="218"/>
        <v>44.154545454545456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IFERROR(__xludf.DUMMYFUNCTION("IMPORTRANGE(""https://docs.google.com/spreadsheets/d/1-uDff_7J0KD5mKrp0Vvzr7lt3OU09vwQwhkpOPPYv2Y/edit?usp=sharing"",""งบพรบ!EV17"")"),0)</f>
        <v>0</v>
      </c>
      <c r="M342" s="230">
        <f ca="1">IFERROR(__xludf.DUMMYFUNCTION("IMPORTRANGE(""https://docs.google.com/spreadsheets/d/1-uDff_7J0KD5mKrp0Vvzr7lt3OU09vwQwhkpOPPYv2Y/edit?usp=sharing"",""งบพรบ!EY17"")"),0)</f>
        <v>0</v>
      </c>
      <c r="N342" s="230">
        <f ca="1">IFERROR(__xludf.DUMMYFUNCTION("IMPORTRANGE(""https://docs.google.com/spreadsheets/d/1-uDff_7J0KD5mKrp0Vvzr7lt3OU09vwQwhkpOPPYv2Y/edit?usp=sharing"",""งบพรบ!FA17"")"),0)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190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IFERROR(__xludf.DUMMYFUNCTION("IMPORTRANGE(""https://docs.google.com/spreadsheets/d/1eHaY18a8A9IcSdp1K8H6x8fbOy06t2VsZHhMHf-1x7Y/edit?usp=sharing"",""แผน!EK17"")"),600)</f>
        <v>600</v>
      </c>
      <c r="J345" s="189">
        <f ca="1">IFERROR(__xludf.DUMMYFUNCTION("IMPORTRANGE(""https://docs.google.com/spreadsheets/d/1awYsYK3VOup2i3Pq_Yjnu8DRu_mYwSBnCR2QPthd0rU/edit?usp=sharing"",""ศูนย์ยกเว้นโฉนด!D17"")"),185)</f>
        <v>185</v>
      </c>
      <c r="K345" s="230">
        <f ca="1">IF(I345&gt;0,J345*100/I345,0)</f>
        <v>30.833333333333332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IFERROR(__xludf.DUMMYFUNCTION("IMPORTRANGE(""https://docs.google.com/spreadsheets/d/1eHaY18a8A9IcSdp1K8H6x8fbOy06t2VsZHhMHf-1x7Y/edit?usp=sharing"",""แผน!EL17"")"),4)</f>
        <v>4</v>
      </c>
      <c r="J347" s="189">
        <f ca="1">IFERROR(__xludf.DUMMYFUNCTION("IMPORTRANGE(""https://docs.google.com/spreadsheets/d/1awYsYK3VOup2i3Pq_Yjnu8DRu_mYwSBnCR2QPthd0rU/edit?usp=sharing"",""ศูนย์รวม!E17"")"),7)</f>
        <v>7</v>
      </c>
      <c r="K347" s="230">
        <f ca="1">IF(I347&gt;0,J347*100/I347,0)</f>
        <v>175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IFERROR(__xludf.DUMMYFUNCTION("IMPORTRANGE(""https://docs.google.com/spreadsheets/d/1awYsYK3VOup2i3Pq_Yjnu8DRu_mYwSBnCR2QPthd0rU/edit?usp=sharing"",""ศูนย์ยกเว้นโฉนด!F17"")"),4)</f>
        <v>4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IFERROR(__xludf.DUMMYFUNCTION("IMPORTRANGE(""https://docs.google.com/spreadsheets/d/1awYsYK3VOup2i3Pq_Yjnu8DRu_mYwSBnCR2QPthd0rU/edit?usp=sharing"",""ศูนย์ยกเว้นโฉนด!G17"")"),1)</f>
        <v>1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IFERROR(__xludf.DUMMYFUNCTION("IMPORTRANGE(""https://docs.google.com/spreadsheets/d/1awYsYK3VOup2i3Pq_Yjnu8DRu_mYwSBnCR2QPthd0rU/edit?usp=sharing"",""ศูนย์ยกเว้นโฉนด!H17"")"),0)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2528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IFERROR(__xludf.DUMMYFUNCTION("IMPORTRANGE(""https://docs.google.com/spreadsheets/d/1awYsYK3VOup2i3Pq_Yjnu8DRu_mYwSBnCR2QPthd0rU/edit?usp=sharing"",""โฉนดM3!G17"")"),389)</f>
        <v>389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IFERROR(__xludf.DUMMYFUNCTION("IMPORTRANGE(""https://docs.google.com/spreadsheets/d/1awYsYK3VOup2i3Pq_Yjnu8DRu_mYwSBnCR2QPthd0rU/edit?usp=sharing"",""โฉนดM3!H17"")"),2139)</f>
        <v>2139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446460</v>
      </c>
      <c r="M357" s="515">
        <f t="shared" ca="1" si="228"/>
        <v>446460</v>
      </c>
      <c r="N357" s="515">
        <f t="shared" ca="1" si="228"/>
        <v>138950</v>
      </c>
      <c r="O357" s="515">
        <f t="shared" ref="O357:O365" ca="1" si="229">IF(L357&gt;0,N357*100/L357,0)</f>
        <v>31.122608968328631</v>
      </c>
      <c r="P357" s="515">
        <f t="shared" ref="P357:P365" ca="1" si="230">IF(M357&gt;0,N357*100/M357,0)</f>
        <v>31.122608968328631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446460</v>
      </c>
      <c r="M359" s="230">
        <f t="shared" ca="1" si="234"/>
        <v>446460</v>
      </c>
      <c r="N359" s="230">
        <f t="shared" ca="1" si="234"/>
        <v>138950</v>
      </c>
      <c r="O359" s="230">
        <f t="shared" ca="1" si="229"/>
        <v>31.122608968328631</v>
      </c>
      <c r="P359" s="230">
        <f t="shared" ca="1" si="230"/>
        <v>31.122608968328631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446460</v>
      </c>
      <c r="M360" s="230">
        <f t="shared" ca="1" si="236"/>
        <v>446460</v>
      </c>
      <c r="N360" s="230">
        <f t="shared" ca="1" si="236"/>
        <v>138950</v>
      </c>
      <c r="O360" s="230">
        <f t="shared" ca="1" si="229"/>
        <v>31.122608968328631</v>
      </c>
      <c r="P360" s="230">
        <f t="shared" ca="1" si="230"/>
        <v>31.122608968328631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IFERROR(__xludf.DUMMYFUNCTION("IMPORTRANGE(""https://docs.google.com/spreadsheets/d/1-uDff_7J0KD5mKrp0Vvzr7lt3OU09vwQwhkpOPPYv2Y/edit?usp=sharing"",""งบพรบ!FC17"")"),446460)</f>
        <v>446460</v>
      </c>
      <c r="M362" s="230">
        <f ca="1">IFERROR(__xludf.DUMMYFUNCTION("IMPORTRANGE(""https://docs.google.com/spreadsheets/d/1-uDff_7J0KD5mKrp0Vvzr7lt3OU09vwQwhkpOPPYv2Y/edit?usp=sharing"",""งบพรบ!FH17"")"),446460)</f>
        <v>446460</v>
      </c>
      <c r="N362" s="230">
        <f ca="1">IFERROR(__xludf.DUMMYFUNCTION("IMPORTRANGE(""https://docs.google.com/spreadsheets/d/1-uDff_7J0KD5mKrp0Vvzr7lt3OU09vwQwhkpOPPYv2Y/edit?usp=sharing"",""งบพรบ!FJ17"")"),138950)</f>
        <v>138950</v>
      </c>
      <c r="O362" s="230">
        <f t="shared" ca="1" si="229"/>
        <v>31.122608968328631</v>
      </c>
      <c r="P362" s="230">
        <f t="shared" ca="1" si="230"/>
        <v>31.122608968328631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IFERROR(__xludf.DUMMYFUNCTION("IMPORTRANGE(""https://docs.google.com/spreadsheets/d/1-uDff_7J0KD5mKrp0Vvzr7lt3OU09vwQwhkpOPPYv2Y/edit?usp=sharing"",""งบพรบ!FF17"")"),0)</f>
        <v>0</v>
      </c>
      <c r="M365" s="230">
        <f ca="1">IFERROR(__xludf.DUMMYFUNCTION("IMPORTRANGE(""https://docs.google.com/spreadsheets/d/1-uDff_7J0KD5mKrp0Vvzr7lt3OU09vwQwhkpOPPYv2Y/edit?usp=sharing"",""งบพรบ!FI17"")"),0)</f>
        <v>0</v>
      </c>
      <c r="N365" s="230">
        <f ca="1">IFERROR(__xludf.DUMMYFUNCTION("IMPORTRANGE(""https://docs.google.com/spreadsheets/d/1-uDff_7J0KD5mKrp0Vvzr7lt3OU09vwQwhkpOPPYv2Y/edit?usp=sharing"",""งบพรบ!FK17"")"),0)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225</v>
      </c>
      <c r="J366" s="313">
        <f t="shared" ca="1" si="240"/>
        <v>165</v>
      </c>
      <c r="K366" s="314">
        <f ca="1">IF(I366&gt;0,J366*100/I366,0)</f>
        <v>73.333333333333329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IFERROR(__xludf.DUMMYFUNCTION("IMPORTRANGE(""https://docs.google.com/spreadsheets/d/1tdoBKaGub7dwA3U6UFTqxio9LNnvDCQjHKmttSEBsFQ/edit?usp=sharing"",""จัดที่ดิน!AB17"")"),62)</f>
        <v>62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IFERROR(__xludf.DUMMYFUNCTION("IMPORTRANGE(""https://docs.google.com/spreadsheets/d/1eHaY18a8A9IcSdp1K8H6x8fbOy06t2VsZHhMHf-1x7Y/edit?usp=sharing"",""แผน!EW17"")"),1890)</f>
        <v>1890</v>
      </c>
      <c r="J369" s="646">
        <f ca="1">IFERROR(__xludf.DUMMYFUNCTION("IMPORTRANGE(""https://docs.google.com/spreadsheets/d/1tdoBKaGub7dwA3U6UFTqxio9LNnvDCQjHKmttSEBsFQ/edit?usp=sharing"",""จัดที่ดิน!AC17"")"),404.22)</f>
        <v>404.22</v>
      </c>
      <c r="K369" s="230">
        <f t="shared" ca="1" si="241"/>
        <v>21.387301587301586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IFERROR(__xludf.DUMMYFUNCTION("IMPORTRANGE(""https://docs.google.com/spreadsheets/d/1eHaY18a8A9IcSdp1K8H6x8fbOy06t2VsZHhMHf-1x7Y/edit?usp=sharing"",""แผน!EX17"")"),333)</f>
        <v>333</v>
      </c>
      <c r="J370" s="189">
        <f ca="1">IFERROR(__xludf.DUMMYFUNCTION("IMPORTRANGE(""https://docs.google.com/spreadsheets/d/1tdoBKaGub7dwA3U6UFTqxio9LNnvDCQjHKmttSEBsFQ/edit?usp=sharing"",""จัดที่ดิน!AD17"")"),204)</f>
        <v>204</v>
      </c>
      <c r="K370" s="230">
        <f t="shared" ca="1" si="241"/>
        <v>61.261261261261261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IFERROR(__xludf.DUMMYFUNCTION("IMPORTRANGE(""https://docs.google.com/spreadsheets/d/1tdoBKaGub7dwA3U6UFTqxio9LNnvDCQjHKmttSEBsFQ/edit?usp=sharing"",""จัดที่ดิน!AE17"")"),2538.52)</f>
        <v>2538.52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IFERROR(__xludf.DUMMYFUNCTION("IMPORTRANGE(""https://docs.google.com/spreadsheets/d/1eHaY18a8A9IcSdp1K8H6x8fbOy06t2VsZHhMHf-1x7Y/edit?usp=sharing"",""แผน!EY17"")"),225)</f>
        <v>225</v>
      </c>
      <c r="J372" s="189">
        <f ca="1">IFERROR(__xludf.DUMMYFUNCTION("IMPORTRANGE(""https://docs.google.com/spreadsheets/d/1tdoBKaGub7dwA3U6UFTqxio9LNnvDCQjHKmttSEBsFQ/edit?usp=sharing"",""จัดที่ดิน!AF17"")"),165)</f>
        <v>165</v>
      </c>
      <c r="K372" s="230">
        <f t="shared" ca="1" si="241"/>
        <v>73.333333333333329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IFERROR(__xludf.DUMMYFUNCTION("IMPORTRANGE(""https://docs.google.com/spreadsheets/d/1tdoBKaGub7dwA3U6UFTqxio9LNnvDCQjHKmttSEBsFQ/edit?usp=sharing"",""จัดที่ดิน!AG17"")"),2329.36)</f>
        <v>2329.36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2">I387+I389</f>
        <v>1000</v>
      </c>
      <c r="J375" s="654">
        <f t="shared" ca="1" si="242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62500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62500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62500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IFERROR(__xludf.DUMMYFUNCTION("IMPORTRANGE(""https://docs.google.com/spreadsheets/d/1ItG2mGa2ceCfYo0BwxsXqNm01IGEUdYcSSLTEv9YCik/edit?usp=sharing"",""เบิกจ่ายกองทุน!AY17"")"),62500)</f>
        <v>62500</v>
      </c>
      <c r="R381" s="230">
        <f ca="1">IFERROR(__xludf.DUMMYFUNCTION("IMPORTRANGE(""https://docs.google.com/spreadsheets/d/1ItG2mGa2ceCfYo0BwxsXqNm01IGEUdYcSSLTEv9YCik/edit?usp=sharing"",""เบิกจ่ายกองทุน!AZ17"")"),0)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IFERROR(__xludf.DUMMYFUNCTION("IMPORTRANGE(""https://docs.google.com/spreadsheets/d/1ItG2mGa2ceCfYo0BwxsXqNm01IGEUdYcSSLTEv9YCik/edit?usp=sharing"",""เบิกจ่ายกองทุน!BA17"")"),0)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IFERROR(__xludf.DUMMYFUNCTION("IMPORTRANGE(""https://docs.google.com/spreadsheets/d/1w5rwWK1o49a35cNtocGL0gxDwhFSTZUQu90BiH9_zqM/edit?usp=sharing"",""RTK!H17"")"),0)</f>
        <v>0</v>
      </c>
      <c r="K386" s="230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IFERROR(__xludf.DUMMYFUNCTION("IMPORTRANGE(""https://docs.google.com/spreadsheets/d/1w5rwWK1o49a35cNtocGL0gxDwhFSTZUQu90BiH9_zqM/edit?usp=sharing"",""RTK!G17"")"),1000)</f>
        <v>1000</v>
      </c>
      <c r="J387" s="189">
        <f ca="1">IFERROR(__xludf.DUMMYFUNCTION("IMPORTRANGE(""https://docs.google.com/spreadsheets/d/1w5rwWK1o49a35cNtocGL0gxDwhFSTZUQu90BiH9_zqM/edit?usp=sharing"",""RTK!I17"")"),0)</f>
        <v>0</v>
      </c>
      <c r="K387" s="230">
        <f t="shared" ca="1" si="255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IFERROR(__xludf.DUMMYFUNCTION("IMPORTRANGE(""https://docs.google.com/spreadsheets/d/1w5rwWK1o49a35cNtocGL0gxDwhFSTZUQu90BiH9_zqM/edit?usp=sharing"",""RTK!L17"")"),0)</f>
        <v>0</v>
      </c>
      <c r="K388" s="592">
        <f t="shared" si="255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IFERROR(__xludf.DUMMYFUNCTION("IMPORTRANGE(""https://docs.google.com/spreadsheets/d/1w5rwWK1o49a35cNtocGL0gxDwhFSTZUQu90BiH9_zqM/edit?usp=sharing"",""RTK!K17"")"),0)</f>
        <v>0</v>
      </c>
      <c r="J389" s="661">
        <f ca="1">IFERROR(__xludf.DUMMYFUNCTION("IMPORTRANGE(""https://docs.google.com/spreadsheets/d/1w5rwWK1o49a35cNtocGL0gxDwhFSTZUQu90BiH9_zqM/edit?usp=sharing"",""RTK!M17"")"),0)</f>
        <v>0</v>
      </c>
      <c r="K389" s="592">
        <f t="shared" ca="1" si="255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IFERROR(__xludf.DUMMYFUNCTION("IMPORTRANGE(""https://docs.google.com/spreadsheets/d/1ItG2mGa2ceCfYo0BwxsXqNm01IGEUdYcSSLTEv9YCik/edit?usp=sharing"",""เบิกจ่ายกองทุน!BH17"")"),0)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IFERROR(__xludf.DUMMYFUNCTION("IMPORTRANGE(""https://docs.google.com/spreadsheets/d/1ItG2mGa2ceCfYo0BwxsXqNm01IGEUdYcSSLTEv9YCik/edit?usp=sharing"",""เบิกจ่ายกองทุน!BI17"")"),0)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IFERROR(__xludf.DUMMYFUNCTION("IMPORTRANGE(""https://docs.google.com/spreadsheets/d/1ItG2mGa2ceCfYo0BwxsXqNm01IGEUdYcSSLTEv9YCik/edit?usp=sharing"",""เบิกจ่ายกองทุน!BJ17"")"),0)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IFERROR(__xludf.DUMMYFUNCTION("IMPORTRANGE(""https://docs.google.com/spreadsheets/d/1eHaY18a8A9IcSdp1K8H6x8fbOy06t2VsZHhMHf-1x7Y/edit?usp=sharing"",""แผน!HJ17"")"),0)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IFERROR(__xludf.DUMMYFUNCTION("IMPORTRANGE(""https://docs.google.com/spreadsheets/d/1eHaY18a8A9IcSdp1K8H6x8fbOy06t2VsZHhMHf-1x7Y/edit?usp=sharing"",""แผน!HK17"")"),0)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IFERROR(__xludf.DUMMYFUNCTION("IMPORTRANGE(""https://docs.google.com/spreadsheets/d/1eHaY18a8A9IcSdp1K8H6x8fbOy06t2VsZHhMHf-1x7Y/edit?usp=sharing"",""แผน!HJ17"")"),0)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IFERROR(__xludf.DUMMYFUNCTION("IMPORTRANGE(""https://docs.google.com/spreadsheets/d/1eHaY18a8A9IcSdp1K8H6x8fbOy06t2VsZHhMHf-1x7Y/edit?usp=sharing"",""แผน!HK17"")"),0)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IFERROR(__xludf.DUMMYFUNCTION("IMPORTRANGE(""https://docs.google.com/spreadsheets/d/1eHaY18a8A9IcSdp1K8H6x8fbOy06t2VsZHhMHf-1x7Y/edit?usp=sharing"",""แผน!HJ17"")"),0)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IFERROR(__xludf.DUMMYFUNCTION("IMPORTRANGE(""https://docs.google.com/spreadsheets/d/1eHaY18a8A9IcSdp1K8H6x8fbOy06t2VsZHhMHf-1x7Y/edit?usp=sharing"",""แผน!HK17"")"),0)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IFERROR(__xludf.DUMMYFUNCTION("IMPORTRANGE(""https://docs.google.com/spreadsheets/d/1eHaY18a8A9IcSdp1K8H6x8fbOy06t2VsZHhMHf-1x7Y/edit?usp=sharing"",""แผน!HL17"")"),0)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IFERROR(__xludf.DUMMYFUNCTION("IMPORTRANGE(""https://docs.google.com/spreadsheets/d/1eHaY18a8A9IcSdp1K8H6x8fbOy06t2VsZHhMHf-1x7Y/edit?usp=sharing"",""แผน!HM17"")"),0)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IFERROR(__xludf.DUMMYFUNCTION("IMPORTRANGE(""https://docs.google.com/spreadsheets/d/1eHaY18a8A9IcSdp1K8H6x8fbOy06t2VsZHhMHf-1x7Y/edit?usp=sharing"",""แผน!HN17"")"),0)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IFERROR(__xludf.DUMMYFUNCTION("IMPORTRANGE(""https://docs.google.com/spreadsheets/d/1eHaY18a8A9IcSdp1K8H6x8fbOy06t2VsZHhMHf-1x7Y/edit?usp=sharing"",""แผน!HO17"")"),0)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IFERROR(__xludf.DUMMYFUNCTION("IMPORTRANGE(""https://docs.google.com/spreadsheets/d/1ItG2mGa2ceCfYo0BwxsXqNm01IGEUdYcSSLTEv9YCik/edit?usp=sharing"",""เบิกจ่ายกองทุน!X17"")"),0)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IFERROR(__xludf.DUMMYFUNCTION("IMPORTRANGE(""https://docs.google.com/spreadsheets/d/1ItG2mGa2ceCfYo0BwxsXqNm01IGEUdYcSSLTEv9YCik/edit?usp=sharing"",""เบิกจ่ายกองทุน!Y17"")"),0)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IFERROR(__xludf.DUMMYFUNCTION("IMPORTRANGE(""https://docs.google.com/spreadsheets/d/1ItG2mGa2ceCfYo0BwxsXqNm01IGEUdYcSSLTEv9YCik/edit?usp=sharing"",""เบิกจ่ายกองทุน!Z17"")"),0)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IFERROR(__xludf.DUMMYFUNCTION("IMPORTRANGE(""https://docs.google.com/spreadsheets/d/1eHaY18a8A9IcSdp1K8H6x8fbOy06t2VsZHhMHf-1x7Y/edit?usp=sharing"",""แผน!GX17"")"),0)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IFERROR(__xludf.DUMMYFUNCTION("IMPORTRANGE(""https://docs.google.com/spreadsheets/d/1eHaY18a8A9IcSdp1K8H6x8fbOy06t2VsZHhMHf-1x7Y/edit?usp=sharing"",""แผน!GY17"")"),0)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IFERROR(__xludf.DUMMYFUNCTION("IMPORTRANGE(""https://docs.google.com/spreadsheets/d/1eHaY18a8A9IcSdp1K8H6x8fbOy06t2VsZHhMHf-1x7Y/edit?usp=sharing"",""แผน!GZ17"")"),0)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IFERROR(__xludf.DUMMYFUNCTION("IMPORTRANGE(""https://docs.google.com/spreadsheets/d/1eHaY18a8A9IcSdp1K8H6x8fbOy06t2VsZHhMHf-1x7Y/edit?usp=sharing"",""แผน!HA17"")"),0)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IFERROR(__xludf.DUMMYFUNCTION("IMPORTRANGE(""https://docs.google.com/spreadsheets/d/1eHaY18a8A9IcSdp1K8H6x8fbOy06t2VsZHhMHf-1x7Y/edit?usp=sharing"",""แผน!HB17"")"),0)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IFERROR(__xludf.DUMMYFUNCTION("IMPORTRANGE(""https://docs.google.com/spreadsheets/d/1eHaY18a8A9IcSdp1K8H6x8fbOy06t2VsZHhMHf-1x7Y/edit?usp=sharing"",""แผน!HC17"")"),0)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IFERROR(__xludf.DUMMYFUNCTION("IMPORTRANGE(""https://docs.google.com/spreadsheets/d/1-uDff_7J0KD5mKrp0Vvzr7lt3OU09vwQwhkpOPPYv2Y/edit?usp=sharing"",""งบพรบ!FM17"")"),0)</f>
        <v>0</v>
      </c>
      <c r="M519" s="230">
        <f ca="1">IFERROR(__xludf.DUMMYFUNCTION("IMPORTRANGE(""https://docs.google.com/spreadsheets/d/1-uDff_7J0KD5mKrp0Vvzr7lt3OU09vwQwhkpOPPYv2Y/edit?usp=sharing"",""งบพรบ!FR17"")"),0)</f>
        <v>0</v>
      </c>
      <c r="N519" s="230">
        <f ca="1">IFERROR(__xludf.DUMMYFUNCTION("IMPORTRANGE(""https://docs.google.com/spreadsheets/d/1-uDff_7J0KD5mKrp0Vvzr7lt3OU09vwQwhkpOPPYv2Y/edit?usp=sharing"",""งบพรบ!FT17"")"),0)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IFERROR(__xludf.DUMMYFUNCTION("IMPORTRANGE(""https://docs.google.com/spreadsheets/d/1-uDff_7J0KD5mKrp0Vvzr7lt3OU09vwQwhkpOPPYv2Y/edit?usp=sharing"",""งบพรบ!FP17"")"),0)</f>
        <v>0</v>
      </c>
      <c r="M522" s="230">
        <f ca="1">IFERROR(__xludf.DUMMYFUNCTION("IMPORTRANGE(""https://docs.google.com/spreadsheets/d/1-uDff_7J0KD5mKrp0Vvzr7lt3OU09vwQwhkpOPPYv2Y/edit?usp=sharing"",""งบพรบ!FS17"")"),0)</f>
        <v>0</v>
      </c>
      <c r="N522" s="230">
        <f ca="1">IFERROR(__xludf.DUMMYFUNCTION("IMPORTRANGE(""https://docs.google.com/spreadsheets/d/1-uDff_7J0KD5mKrp0Vvzr7lt3OU09vwQwhkpOPPYv2Y/edit?usp=sharing"",""งบพรบ!FU17"")"),0)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1825</v>
      </c>
      <c r="R617" s="515">
        <f t="shared" ca="1" si="383"/>
        <v>1825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1825</v>
      </c>
      <c r="R619" s="230">
        <f t="shared" ca="1" si="387"/>
        <v>1825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1825</v>
      </c>
      <c r="R620" s="230">
        <f t="shared" ca="1" si="389"/>
        <v>1825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IFERROR(__xludf.DUMMYFUNCTION("IMPORTRANGE(""https://docs.google.com/spreadsheets/d/1ItG2mGa2ceCfYo0BwxsXqNm01IGEUdYcSSLTEv9YCik/edit?usp=sharing"",""เบิกจ่ายกองทุน!F17"")"),1825)</f>
        <v>1825</v>
      </c>
      <c r="R622" s="230">
        <f ca="1">IFERROR(__xludf.DUMMYFUNCTION("IMPORTRANGE(""https://docs.google.com/spreadsheets/d/1ItG2mGa2ceCfYo0BwxsXqNm01IGEUdYcSSLTEv9YCik/edit?usp=sharing"",""เบิกจ่ายกองทุน!G17"")"),1825)</f>
        <v>1825</v>
      </c>
      <c r="S622" s="230">
        <f ca="1">IFERROR(__xludf.DUMMYFUNCTION("IMPORTRANGE(""https://docs.google.com/spreadsheets/d/1ItG2mGa2ceCfYo0BwxsXqNm01IGEUdYcSSLTEv9YCik/edit?usp=sharing"",""เบิกจ่ายกองทุน!H17"")"),0)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IFERROR(__xludf.DUMMYFUNCTION("IMPORTRANGE(""https://docs.google.com/spreadsheets/d/1eHaY18a8A9IcSdp1K8H6x8fbOy06t2VsZHhMHf-1x7Y/edit?usp=sharing"",""แผน!ID17"")"),0)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IFERROR(__xludf.DUMMYFUNCTION("IMPORTRANGE(""https://docs.google.com/spreadsheets/d/1eHaY18a8A9IcSdp1K8H6x8fbOy06t2VsZHhMHf-1x7Y/edit?usp=sharing"",""แผน!IC17"")"),1)</f>
        <v>1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IFERROR(__xludf.DUMMYFUNCTION("IMPORTRANGE(""https://docs.google.com/spreadsheets/d/1eHaY18a8A9IcSdp1K8H6x8fbOy06t2VsZHhMHf-1x7Y/edit?usp=sharing"",""แผน!IC17"")"),1)</f>
        <v>1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IFERROR(__xludf.DUMMYFUNCTION("IMPORTRANGE(""https://docs.google.com/spreadsheets/d/1eHaY18a8A9IcSdp1K8H6x8fbOy06t2VsZHhMHf-1x7Y/edit?usp=sharing"",""แผน!IE17"")"),0)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0</v>
      </c>
      <c r="R643" s="515">
        <f t="shared" ca="1" si="397"/>
        <v>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0</v>
      </c>
      <c r="R645" s="230">
        <f t="shared" ca="1" si="401"/>
        <v>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0</v>
      </c>
      <c r="R646" s="230">
        <f t="shared" ca="1" si="403"/>
        <v>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IFERROR(__xludf.DUMMYFUNCTION("IMPORTRANGE(""https://docs.google.com/spreadsheets/d/1ItG2mGa2ceCfYo0BwxsXqNm01IGEUdYcSSLTEv9YCik/edit?usp=sharing"",""เบิกจ่ายกองทุน!I17"")"),0)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IFERROR(__xludf.DUMMYFUNCTION("IMPORTRANGE(""https://docs.google.com/spreadsheets/d/1ItG2mGa2ceCfYo0BwxsXqNm01IGEUdYcSSLTEv9YCik/edit?usp=sharing"",""เบิกจ่ายกองทุน!J17"")"),0)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IFERROR(__xludf.DUMMYFUNCTION("IMPORTRANGE(""https://docs.google.com/spreadsheets/d/1ItG2mGa2ceCfYo0BwxsXqNm01IGEUdYcSSLTEv9YCik/edit?usp=sharing"",""เบิกจ่ายกองทุน!K17"")"),0)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IFERROR(__xludf.DUMMYFUNCTION("IMPORTRANGE(""https://docs.google.com/spreadsheets/d/1eHaY18a8A9IcSdp1K8H6x8fbOy06t2VsZHhMHf-1x7Y/edit?usp=sharing"",""แผน!IF17"")"),0)</f>
        <v>0</v>
      </c>
      <c r="J653" s="189">
        <f ca="1">IFERROR(__xludf.DUMMYFUNCTION("IMPORTRANGE(""https://docs.google.com/spreadsheets/d/1tdoBKaGub7dwA3U6UFTqxio9LNnvDCQjHKmttSEBsFQ/edit?usp=sharing"",""จัดที่ดิน!AU17"")"),0)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IFERROR(__xludf.DUMMYFUNCTION("IMPORTRANGE(""https://docs.google.com/spreadsheets/d/1eHaY18a8A9IcSdp1K8H6x8fbOy06t2VsZHhMHf-1x7Y/edit?usp=sharing"",""แผน!IG17"")"),0)</f>
        <v>0</v>
      </c>
      <c r="J654" s="189">
        <f ca="1">IFERROR(__xludf.DUMMYFUNCTION("IMPORTRANGE(""https://docs.google.com/spreadsheets/d/1tdoBKaGub7dwA3U6UFTqxio9LNnvDCQjHKmttSEBsFQ/edit?usp=sharing"",""จัดที่ดิน!AW17"")"),0)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IFERROR(__xludf.DUMMYFUNCTION("IMPORTRANGE(""https://docs.google.com/spreadsheets/d/1eHaY18a8A9IcSdp1K8H6x8fbOy06t2VsZHhMHf-1x7Y/edit?usp=sharing"",""แผน!IH17"")"),0)</f>
        <v>0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IFERROR(__xludf.DUMMYFUNCTION("IMPORTRANGE(""https://docs.google.com/spreadsheets/d/1eHaY18a8A9IcSdp1K8H6x8fbOy06t2VsZHhMHf-1x7Y/edit?usp=sharing"",""แผน!II17"")"),0)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IFERROR(__xludf.DUMMYFUNCTION("IMPORTRANGE(""https://docs.google.com/spreadsheets/d/1eHaY18a8A9IcSdp1K8H6x8fbOy06t2VsZHhMHf-1x7Y/edit?usp=sharing"",""แผน!IJ17"")"),0)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IFERROR(__xludf.DUMMYFUNCTION("IMPORTRANGE(""https://docs.google.com/spreadsheets/d/1eHaY18a8A9IcSdp1K8H6x8fbOy06t2VsZHhMHf-1x7Y/edit?usp=sharing"",""แผน!IK17"")"),0)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IFERROR(__xludf.DUMMYFUNCTION("IMPORTRANGE(""https://docs.google.com/spreadsheets/d/1tdoBKaGub7dwA3U6UFTqxio9LNnvDCQjHKmttSEBsFQ/edit?usp=sharing"",""จัดที่ดิน!AY17"")"),0)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IFERROR(__xludf.DUMMYFUNCTION("IMPORTRANGE(""https://docs.google.com/spreadsheets/d/1tdoBKaGub7dwA3U6UFTqxio9LNnvDCQjHKmttSEBsFQ/edit?usp=sharing"",""จัดที่ดิน!AZ17"")"),0)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IFERROR(__xludf.DUMMYFUNCTION("IMPORTRANGE(""https://docs.google.com/spreadsheets/d/1eHaY18a8A9IcSdp1K8H6x8fbOy06t2VsZHhMHf-1x7Y/edit?usp=sharing"",""แผน!IL17"")"),0)</f>
        <v>0</v>
      </c>
      <c r="J674" s="189">
        <f ca="1">IFERROR(__xludf.DUMMYFUNCTION("IMPORTRANGE(""https://docs.google.com/spreadsheets/d/1tdoBKaGub7dwA3U6UFTqxio9LNnvDCQjHKmttSEBsFQ/edit?usp=sharing"",""จัดที่ดิน!BA17"")"),0)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IFERROR(__xludf.DUMMYFUNCTION("IMPORTRANGE(""https://docs.google.com/spreadsheets/d/1eHaY18a8A9IcSdp1K8H6x8fbOy06t2VsZHhMHf-1x7Y/edit?usp=sharing"",""แผน!IM17"")"),0)</f>
        <v>0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IFERROR(__xludf.DUMMYFUNCTION("IMPORTRANGE(""https://docs.google.com/spreadsheets/d/1eHaY18a8A9IcSdp1K8H6x8fbOy06t2VsZHhMHf-1x7Y/edit?usp=sharing"",""แผน!IN17"")"),0)</f>
        <v>0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IFERROR(__xludf.DUMMYFUNCTION("IMPORTRANGE(""https://docs.google.com/spreadsheets/d/1eHaY18a8A9IcSdp1K8H6x8fbOy06t2VsZHhMHf-1x7Y/edit?usp=sharing"",""แผน!IO17"")"),0)</f>
        <v>0</v>
      </c>
      <c r="J677" s="189">
        <f ca="1">IFERROR(__xludf.DUMMYFUNCTION("IMPORTRANGE(""https://docs.google.com/spreadsheets/d/1tdoBKaGub7dwA3U6UFTqxio9LNnvDCQjHKmttSEBsFQ/edit?usp=sharing"",""จัดที่ดิน!BF17"")"),0)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IFERROR(__xludf.DUMMYFUNCTION("IMPORTRANGE(""https://docs.google.com/spreadsheets/d/1tdoBKaGub7dwA3U6UFTqxio9LNnvDCQjHKmttSEBsFQ/edit?usp=sharing"",""จัดที่ดิน!BG17"")"),0)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IFERROR(__xludf.DUMMYFUNCTION("IMPORTRANGE(""https://docs.google.com/spreadsheets/d/1eHaY18a8A9IcSdp1K8H6x8fbOy06t2VsZHhMHf-1x7Y/edit?usp=sharing"",""แผน!IP17"")"),0)</f>
        <v>0</v>
      </c>
      <c r="J679" s="189">
        <f ca="1">IFERROR(__xludf.DUMMYFUNCTION("IMPORTRANGE(""https://docs.google.com/spreadsheets/d/1tdoBKaGub7dwA3U6UFTqxio9LNnvDCQjHKmttSEBsFQ/edit?usp=sharing"",""จัดที่ดิน!BH17"")"),0)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IFERROR(__xludf.DUMMYFUNCTION("IMPORTRANGE(""https://docs.google.com/spreadsheets/d/1eHaY18a8A9IcSdp1K8H6x8fbOy06t2VsZHhMHf-1x7Y/edit?usp=sharing"",""แผน!IQ17"")"),0)</f>
        <v>0</v>
      </c>
      <c r="J680" s="189">
        <f ca="1">IFERROR(__xludf.DUMMYFUNCTION("IMPORTRANGE(""https://docs.google.com/spreadsheets/d/1tdoBKaGub7dwA3U6UFTqxio9LNnvDCQjHKmttSEBsFQ/edit?usp=sharing"",""จัดที่ดิน!BK17"")"),0)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IFERROR(__xludf.DUMMYFUNCTION("IMPORTRANGE(""https://docs.google.com/spreadsheets/d/1tdoBKaGub7dwA3U6UFTqxio9LNnvDCQjHKmttSEBsFQ/edit?usp=sharing"",""จัดที่ดิน!BL17"")"),0)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IFERROR(__xludf.DUMMYFUNCTION("IMPORTRANGE(""https://docs.google.com/spreadsheets/d/1eHaY18a8A9IcSdp1K8H6x8fbOy06t2VsZHhMHf-1x7Y/edit?usp=sharing"",""แผน!IR17"")"),0)</f>
        <v>0</v>
      </c>
      <c r="J682" s="189">
        <f ca="1">IFERROR(__xludf.DUMMYFUNCTION("IMPORTRANGE(""https://docs.google.com/spreadsheets/d/1tdoBKaGub7dwA3U6UFTqxio9LNnvDCQjHKmttSEBsFQ/edit?usp=sharing"",""จัดที่ดิน!BM17"")"),0)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IFERROR(__xludf.DUMMYFUNCTION("IMPORTRANGE(""https://docs.google.com/spreadsheets/d/1eHaY18a8A9IcSdp1K8H6x8fbOy06t2VsZHhMHf-1x7Y/edit?usp=sharing"",""แผน!IS17"")"),0)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15</v>
      </c>
      <c r="J690" s="700">
        <f t="shared" ca="1" si="410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82240</v>
      </c>
      <c r="R691" s="515">
        <f t="shared" ca="1" si="414"/>
        <v>82240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82240</v>
      </c>
      <c r="R693" s="230">
        <f t="shared" ca="1" si="418"/>
        <v>82240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82240</v>
      </c>
      <c r="R694" s="230">
        <f t="shared" ca="1" si="420"/>
        <v>82240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6" s="230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6" s="230">
        <f ca="1">IFERROR(__xludf.DUMMYFUNCTION("IMPORTRANGE(""https://docs.google.com/spreadsheets/d/1ItG2mGa2ceCfYo0BwxsXqNm01IGEUdYcSSLTEv9YCik/edit?usp=sharing"",""เบิกจ่ายกองทุน!N17"")"),0)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IFERROR(__xludf.DUMMYFUNCTION("IMPORTRANGE(""https://docs.google.com/spreadsheets/d/1eHaY18a8A9IcSdp1K8H6x8fbOy06t2VsZHhMHf-1x7Y/edit?usp=sharing"",""แผน!LC17"")"),0)</f>
        <v>0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20</v>
      </c>
      <c r="J702" s="340">
        <f t="shared" ca="1" si="424"/>
        <v>0</v>
      </c>
      <c r="K702" s="515">
        <f t="shared" ca="1" si="423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IFERROR(__xludf.DUMMYFUNCTION("IMPORTRANGE(""https://docs.google.com/spreadsheets/d/1eHaY18a8A9IcSdp1K8H6x8fbOy06t2VsZHhMHf-1x7Y/edit?usp=sharing"",""แผน!LJ17"")"),15)</f>
        <v>15</v>
      </c>
      <c r="J704" s="189">
        <f ca="1">IFERROR(__xludf.DUMMYFUNCTION("IMPORTRANGE(""https://docs.google.com/spreadsheets/d/1tdoBKaGub7dwA3U6UFTqxio9LNnvDCQjHKmttSEBsFQ/edit?usp=sharing"",""จัดที่ดิน!AP17"")"),0)</f>
        <v>0</v>
      </c>
      <c r="K704" s="230">
        <f t="shared" ca="1" si="423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IFERROR(__xludf.DUMMYFUNCTION("IMPORTRANGE(""https://docs.google.com/spreadsheets/d/1tdoBKaGub7dwA3U6UFTqxio9LNnvDCQjHKmttSEBsFQ/edit?usp=sharing"",""จัดที่ดิน!AQ17"")"),0)</f>
        <v>0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IFERROR(__xludf.DUMMYFUNCTION("IMPORTRANGE(""https://docs.google.com/spreadsheets/d/1eHaY18a8A9IcSdp1K8H6x8fbOy06t2VsZHhMHf-1x7Y/edit?usp=sharing"",""แผน!LK17"")"),5)</f>
        <v>5</v>
      </c>
      <c r="J706" s="189">
        <f ca="1">IFERROR(__xludf.DUMMYFUNCTION("IMPORTRANGE(""https://docs.google.com/spreadsheets/d/1tdoBKaGub7dwA3U6UFTqxio9LNnvDCQjHKmttSEBsFQ/edit?usp=sharing"",""จัดที่ดิน!AR17"")"),0)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IFERROR(__xludf.DUMMYFUNCTION("IMPORTRANGE(""https://docs.google.com/spreadsheets/d/1tdoBKaGub7dwA3U6UFTqxio9LNnvDCQjHKmttSEBsFQ/edit?usp=sharing"",""จัดที่ดิน!AS17"")"),0)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IFERROR(__xludf.DUMMYFUNCTION("IMPORTRANGE(""https://docs.google.com/spreadsheets/d/1eHaY18a8A9IcSdp1K8H6x8fbOy06t2VsZHhMHf-1x7Y/edit?usp=sharing"",""แผน!LJ17"")"),15)</f>
        <v>15</v>
      </c>
      <c r="J708" s="189">
        <f ca="1">IFERROR(__xludf.DUMMYFUNCTION("IMPORTRANGE(""https://docs.google.com/spreadsheets/d/1tdoBKaGub7dwA3U6UFTqxio9LNnvDCQjHKmttSEBsFQ/edit?usp=sharing"",""จัดที่ดิน!BN17"")"),0)</f>
        <v>0</v>
      </c>
      <c r="K708" s="230">
        <f t="shared" ca="1" si="423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IFERROR(__xludf.DUMMYFUNCTION("IMPORTRANGE(""https://docs.google.com/spreadsheets/d/1tdoBKaGub7dwA3U6UFTqxio9LNnvDCQjHKmttSEBsFQ/edit?usp=sharing"",""จัดที่ดิน!BO17"")"),0)</f>
        <v>0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IFERROR(__xludf.DUMMYFUNCTION("IMPORTRANGE(""https://docs.google.com/spreadsheets/d/1eHaY18a8A9IcSdp1K8H6x8fbOy06t2VsZHhMHf-1x7Y/edit?usp=sharing"",""แผน!LK17"")"),5)</f>
        <v>5</v>
      </c>
      <c r="J710" s="189">
        <f ca="1">IFERROR(__xludf.DUMMYFUNCTION("IMPORTRANGE(""https://docs.google.com/spreadsheets/d/1tdoBKaGub7dwA3U6UFTqxio9LNnvDCQjHKmttSEBsFQ/edit?usp=sharing"",""จัดที่ดิน!BP17"")"),0)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IFERROR(__xludf.DUMMYFUNCTION("IMPORTRANGE(""https://docs.google.com/spreadsheets/d/1tdoBKaGub7dwA3U6UFTqxio9LNnvDCQjHKmttSEBsFQ/edit?usp=sharing"",""จัดที่ดิน!BQ17"")"),0)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IFERROR(__xludf.DUMMYFUNCTION("IMPORTRANGE(""https://docs.google.com/spreadsheets/d/1eHaY18a8A9IcSdp1K8H6x8fbOy06t2VsZHhMHf-1x7Y/edit?usp=sharing"",""แผน!GA17"")"),31)</f>
        <v>31</v>
      </c>
      <c r="J727" s="700">
        <f>J743+J747+J750</f>
        <v>31</v>
      </c>
      <c r="K727" s="701">
        <f t="shared" ref="K727:K728" ca="1" si="437">IF(I727&gt;0,J727*100/I727,0)</f>
        <v>100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IFERROR(__xludf.DUMMYFUNCTION("IMPORTRANGE(""https://docs.google.com/spreadsheets/d/1eHaY18a8A9IcSdp1K8H6x8fbOy06t2VsZHhMHf-1x7Y/edit?usp=sharing"",""แผน!FZ17"")"),300)</f>
        <v>300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242546</v>
      </c>
      <c r="R729" s="515">
        <f t="shared" ca="1" si="441"/>
        <v>242546</v>
      </c>
      <c r="S729" s="515">
        <f t="shared" ca="1" si="441"/>
        <v>0</v>
      </c>
      <c r="T729" s="515">
        <f t="shared" ref="T729:T737" ca="1" si="442">IF(Q729&gt;0,S729*100/Q729,0)</f>
        <v>0</v>
      </c>
      <c r="U729" s="515">
        <f t="shared" ref="U729:U737" ca="1" si="443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242546</v>
      </c>
      <c r="R731" s="230">
        <f t="shared" ca="1" si="445"/>
        <v>242546</v>
      </c>
      <c r="S731" s="230">
        <f t="shared" ca="1" si="445"/>
        <v>0</v>
      </c>
      <c r="T731" s="230">
        <f t="shared" ca="1" si="442"/>
        <v>0</v>
      </c>
      <c r="U731" s="230">
        <f t="shared" ca="1" si="443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242546</v>
      </c>
      <c r="R732" s="230">
        <f t="shared" ca="1" si="447"/>
        <v>242546</v>
      </c>
      <c r="S732" s="230">
        <f t="shared" ca="1" si="447"/>
        <v>0</v>
      </c>
      <c r="T732" s="230">
        <f t="shared" ca="1" si="442"/>
        <v>0</v>
      </c>
      <c r="U732" s="230">
        <f t="shared" ca="1" si="443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4" s="230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4" s="230">
        <f ca="1">IFERROR(__xludf.DUMMYFUNCTION("IMPORTRANGE(""https://docs.google.com/spreadsheets/d/1ItG2mGa2ceCfYo0BwxsXqNm01IGEUdYcSSLTEv9YCik/edit?usp=sharing"",""เบิกจ่ายกองทุน!Q17"")"),0)</f>
        <v>0</v>
      </c>
      <c r="T734" s="230">
        <f t="shared" ca="1" si="442"/>
        <v>0</v>
      </c>
      <c r="U734" s="230">
        <f t="shared" ca="1" si="443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600"/>
      <c r="B740" s="601"/>
      <c r="C740" s="601"/>
      <c r="D740" s="601"/>
      <c r="E740" s="704" t="s">
        <v>270</v>
      </c>
      <c r="F740" s="601"/>
      <c r="G740" s="603"/>
      <c r="H740" s="660"/>
      <c r="I740" s="580"/>
      <c r="J740" s="580"/>
      <c r="K740" s="581"/>
      <c r="L740" s="706"/>
      <c r="M740" s="581"/>
      <c r="N740" s="581"/>
      <c r="O740" s="581"/>
      <c r="P740" s="581"/>
      <c r="Q740" s="581"/>
      <c r="R740" s="581"/>
      <c r="S740" s="581"/>
      <c r="T740" s="581"/>
      <c r="U740" s="581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IFERROR(__xludf.DUMMYFUNCTION("IMPORTRANGE(""https://docs.google.com/spreadsheets/d/1eHaY18a8A9IcSdp1K8H6x8fbOy06t2VsZHhMHf-1x7Y/edit?usp=sharing"",""แผน!GB17"")"),240)</f>
        <v>240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IFERROR(__xludf.DUMMYFUNCTION("IMPORTRANGE(""https://docs.google.com/spreadsheets/d/1eHaY18a8A9IcSdp1K8H6x8fbOy06t2VsZHhMHf-1x7Y/edit?usp=sharing"",""แผน!GC17"")"),24)</f>
        <v>24</v>
      </c>
      <c r="J743" s="705">
        <v>24</v>
      </c>
      <c r="K743" s="592">
        <f ca="1">IF(I743&gt;0,J743*100/I743,0)</f>
        <v>100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IFERROR(__xludf.DUMMYFUNCTION("IMPORTRANGE(""https://docs.google.com/spreadsheets/d/1eHaY18a8A9IcSdp1K8H6x8fbOy06t2VsZHhMHf-1x7Y/edit?usp=sharing"",""แผน!GD17"")"),60)</f>
        <v>60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IFERROR(__xludf.DUMMYFUNCTION("IMPORTRANGE(""https://docs.google.com/spreadsheets/d/1eHaY18a8A9IcSdp1K8H6x8fbOy06t2VsZHhMHf-1x7Y/edit?usp=sharing"",""แผน!GE17"")"),6)</f>
        <v>6</v>
      </c>
      <c r="J747" s="705">
        <v>6</v>
      </c>
      <c r="K747" s="592">
        <f ca="1">IF(I747&gt;0,J747*100/I747,0)</f>
        <v>100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IFERROR(__xludf.DUMMYFUNCTION("IMPORTRANGE(""https://docs.google.com/spreadsheets/d/1eHaY18a8A9IcSdp1K8H6x8fbOy06t2VsZHhMHf-1x7Y/edit?usp=sharing"",""แผน!GF17"")"),1)</f>
        <v>1</v>
      </c>
      <c r="J750" s="705">
        <v>1</v>
      </c>
      <c r="K750" s="592">
        <f ca="1">IF(I750&gt;0,J750*100/I750,0)</f>
        <v>100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IFERROR(__xludf.DUMMYFUNCTION("IMPORTRANGE(""https://docs.google.com/spreadsheets/d/1eHaY18a8A9IcSdp1K8H6x8fbOy06t2VsZHhMHf-1x7Y/edit?usp=sharing"",""แผน!GC17"")"),24)</f>
        <v>24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IFERROR(__xludf.DUMMYFUNCTION("IMPORTRANGE(""https://docs.google.com/spreadsheets/d/1eHaY18a8A9IcSdp1K8H6x8fbOy06t2VsZHhMHf-1x7Y/edit?usp=sharing"",""แผน!GE17"")"),6)</f>
        <v>6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hidden="1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0</v>
      </c>
      <c r="J758" s="700">
        <f t="shared" si="450"/>
        <v>0</v>
      </c>
      <c r="K758" s="701">
        <f t="shared" ref="K758:K759" ca="1" si="451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0</v>
      </c>
      <c r="J759" s="700">
        <f t="shared" si="452"/>
        <v>0</v>
      </c>
      <c r="K759" s="701">
        <f t="shared" ca="1" si="451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0</v>
      </c>
      <c r="R760" s="515">
        <f t="shared" ca="1" si="456"/>
        <v>0</v>
      </c>
      <c r="S760" s="515">
        <f t="shared" ca="1" si="456"/>
        <v>0</v>
      </c>
      <c r="T760" s="515">
        <f t="shared" ref="T760:T768" ca="1" si="457">IF(Q760&gt;0,S760*100/Q760,0)</f>
        <v>0</v>
      </c>
      <c r="U760" s="515">
        <f t="shared" ref="U760:U768" ca="1" si="458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0</v>
      </c>
      <c r="R762" s="230">
        <f t="shared" ca="1" si="460"/>
        <v>0</v>
      </c>
      <c r="S762" s="230">
        <f t="shared" ca="1" si="460"/>
        <v>0</v>
      </c>
      <c r="T762" s="230">
        <f t="shared" ca="1" si="457"/>
        <v>0</v>
      </c>
      <c r="U762" s="230">
        <f t="shared" ca="1" si="458"/>
        <v>0</v>
      </c>
    </row>
    <row r="763" spans="1:21" ht="18.75" hidden="1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0</v>
      </c>
      <c r="R763" s="230">
        <f t="shared" ca="1" si="462"/>
        <v>0</v>
      </c>
      <c r="S763" s="230">
        <f t="shared" ca="1" si="462"/>
        <v>0</v>
      </c>
      <c r="T763" s="230">
        <f t="shared" ca="1" si="457"/>
        <v>0</v>
      </c>
      <c r="U763" s="230">
        <f t="shared" ca="1" si="458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IFERROR(__xludf.DUMMYFUNCTION("IMPORTRANGE(""https://docs.google.com/spreadsheets/d/1ItG2mGa2ceCfYo0BwxsXqNm01IGEUdYcSSLTEv9YCik/edit?usp=sharing"",""เบิกจ่ายกองทุน!U17"")"),0)</f>
        <v>0</v>
      </c>
      <c r="R765" s="230">
        <f ca="1">IFERROR(__xludf.DUMMYFUNCTION("IMPORTRANGE(""https://docs.google.com/spreadsheets/d/1ItG2mGa2ceCfYo0BwxsXqNm01IGEUdYcSSLTEv9YCik/edit?usp=sharing"",""เบิกจ่ายกองทุน!V17"")"),0)</f>
        <v>0</v>
      </c>
      <c r="S765" s="230">
        <f ca="1">IFERROR(__xludf.DUMMYFUNCTION("IMPORTRANGE(""https://docs.google.com/spreadsheets/d/1ItG2mGa2ceCfYo0BwxsXqNm01IGEUdYcSSLTEv9YCik/edit?usp=sharing"",""เบิกจ่ายกองทุน!W17"")"),0)</f>
        <v>0</v>
      </c>
      <c r="T765" s="230">
        <f t="shared" ca="1" si="457"/>
        <v>0</v>
      </c>
      <c r="U765" s="230">
        <f t="shared" ca="1" si="458"/>
        <v>0</v>
      </c>
    </row>
    <row r="766" spans="1:21" ht="18.75" hidden="1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hidden="1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IFERROR(__xludf.DUMMYFUNCTION("IMPORTRANGE(""https://docs.google.com/spreadsheets/d/1eHaY18a8A9IcSdp1K8H6x8fbOy06t2VsZHhMHf-1x7Y/edit?usp=sharing"",""แผน!FI17"")"),0)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hidden="1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IFERROR(__xludf.DUMMYFUNCTION("IMPORTRANGE(""https://docs.google.com/spreadsheets/d/1eHaY18a8A9IcSdp1K8H6x8fbOy06t2VsZHhMHf-1x7Y/edit?usp=sharing"",""แผน!FQ17"")"),0)</f>
        <v>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hidden="1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hidden="1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IFERROR(__xludf.DUMMYFUNCTION("IMPORTRANGE(""https://docs.google.com/spreadsheets/d/1eHaY18a8A9IcSdp1K8H6x8fbOy06t2VsZHhMHf-1x7Y/edit?usp=sharing"",""แผน!FR17"")"),0)</f>
        <v>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hidden="1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IFERROR(__xludf.DUMMYFUNCTION("IMPORTRANGE(""https://docs.google.com/spreadsheets/d/1eHaY18a8A9IcSdp1K8H6x8fbOy06t2VsZHhMHf-1x7Y/edit?usp=sharing"",""แผน!FS17"")"),0)</f>
        <v>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hidden="1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IFERROR(__xludf.DUMMYFUNCTION("IMPORTRANGE(""https://docs.google.com/spreadsheets/d/1eHaY18a8A9IcSdp1K8H6x8fbOy06t2VsZHhMHf-1x7Y/edit?usp=sharing"",""แผน!FT17"")"),0)</f>
        <v>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IFERROR(__xludf.DUMMYFUNCTION("IMPORTRANGE(""https://docs.google.com/spreadsheets/d/10OvvATaaLtwErnr3qtWFcTmtbfpFEt5Bsqel9sXx0uE/edit?usp=sharing"",""งานกองทุน!D17"")"),2298513.49)</f>
        <v>2298513.4900000002</v>
      </c>
      <c r="J778" s="189">
        <f ca="1">IFERROR(__xludf.DUMMYFUNCTION("IMPORTRANGE(""https://docs.google.com/spreadsheets/d/10OvvATaaLtwErnr3qtWFcTmtbfpFEt5Bsqel9sXx0uE/edit?usp=sharing"",""งานกองทุน!F17"")"),229989.05)</f>
        <v>229989.05</v>
      </c>
      <c r="K778" s="230">
        <f t="shared" ref="K778:K785" ca="1" si="465">IF(I778&gt;0,J778*100/I778,0)</f>
        <v>10.005990871952637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IFERROR(__xludf.DUMMYFUNCTION("IMPORTRANGE(""https://docs.google.com/spreadsheets/d/10OvvATaaLtwErnr3qtWFcTmtbfpFEt5Bsqel9sXx0uE/edit?usp=sharing"",""งานกองทุน!C17"")"),198)</f>
        <v>198</v>
      </c>
      <c r="J779" s="189">
        <f ca="1">IFERROR(__xludf.DUMMYFUNCTION("IMPORTRANGE(""https://docs.google.com/spreadsheets/d/10OvvATaaLtwErnr3qtWFcTmtbfpFEt5Bsqel9sXx0uE/edit?usp=sharing"",""งานกองทุน!E17"")"),23)</f>
        <v>23</v>
      </c>
      <c r="K779" s="230">
        <f t="shared" ca="1" si="465"/>
        <v>11.616161616161616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89">
        <f ca="1">IFERROR(__xludf.DUMMYFUNCTION("IMPORTRANGE(""https://docs.google.com/spreadsheets/d/10OvvATaaLtwErnr3qtWFcTmtbfpFEt5Bsqel9sXx0uE/edit?usp=sharing"",""งานกองทุน!K17"")"),310391.58)</f>
        <v>310391.58</v>
      </c>
      <c r="K780" s="230">
        <f t="shared" ca="1" si="465"/>
        <v>4.0317671551403711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IFERROR(__xludf.DUMMYFUNCTION("IMPORTRANGE(""https://docs.google.com/spreadsheets/d/10OvvATaaLtwErnr3qtWFcTmtbfpFEt5Bsqel9sXx0uE/edit?usp=sharing"",""งานกองทุน!H17"")"),324)</f>
        <v>324</v>
      </c>
      <c r="J781" s="189">
        <f ca="1">IFERROR(__xludf.DUMMYFUNCTION("IMPORTRANGE(""https://docs.google.com/spreadsheets/d/10OvvATaaLtwErnr3qtWFcTmtbfpFEt5Bsqel9sXx0uE/edit?usp=sharing"",""งานกองทุน!J17"")"),113)</f>
        <v>113</v>
      </c>
      <c r="K781" s="230">
        <f t="shared" ca="1" si="465"/>
        <v>34.876543209876544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IFERROR(__xludf.DUMMYFUNCTION("IMPORTRANGE(""https://docs.google.com/spreadsheets/d/10OvvATaaLtwErnr3qtWFcTmtbfpFEt5Bsqel9sXx0uE/edit?usp=sharing"",""งานกองทุน!N17"")"),0)</f>
        <v>0</v>
      </c>
      <c r="J782" s="189">
        <f ca="1">IFERROR(__xludf.DUMMYFUNCTION("IMPORTRANGE(""https://docs.google.com/spreadsheets/d/10OvvATaaLtwErnr3qtWFcTmtbfpFEt5Bsqel9sXx0uE/edit?usp=sharing"",""งานกองทุน!P17"")"),0)</f>
        <v>0</v>
      </c>
      <c r="K782" s="230">
        <f t="shared" ca="1" si="465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IFERROR(__xludf.DUMMYFUNCTION("IMPORTRANGE(""https://docs.google.com/spreadsheets/d/10OvvATaaLtwErnr3qtWFcTmtbfpFEt5Bsqel9sXx0uE/edit?usp=sharing"",""งานกองทุน!M17"")"),0)</f>
        <v>0</v>
      </c>
      <c r="J783" s="189">
        <f ca="1">IFERROR(__xludf.DUMMYFUNCTION("IMPORTRANGE(""https://docs.google.com/spreadsheets/d/10OvvATaaLtwErnr3qtWFcTmtbfpFEt5Bsqel9sXx0uE/edit?usp=sharing"",""งานกองทุน!O17"")"),0)</f>
        <v>0</v>
      </c>
      <c r="K783" s="230">
        <f t="shared" ca="1" si="465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IFERROR(__xludf.DUMMYFUNCTION("IMPORTRANGE(""https://docs.google.com/spreadsheets/d/10OvvATaaLtwErnr3qtWFcTmtbfpFEt5Bsqel9sXx0uE/edit?usp=sharing"",""งานกองทุน!S17"")"),3780000)</f>
        <v>3780000</v>
      </c>
      <c r="J784" s="189">
        <f ca="1">IFERROR(__xludf.DUMMYFUNCTION("IMPORTRANGE(""https://docs.google.com/spreadsheets/d/10OvvATaaLtwErnr3qtWFcTmtbfpFEt5Bsqel9sXx0uE/edit?usp=sharing"",""งานกองทุน!U17"")"),0)</f>
        <v>0</v>
      </c>
      <c r="K784" s="230">
        <f t="shared" ca="1" si="465"/>
        <v>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IFERROR(__xludf.DUMMYFUNCTION("IMPORTRANGE(""https://docs.google.com/spreadsheets/d/10OvvATaaLtwErnr3qtWFcTmtbfpFEt5Bsqel9sXx0uE/edit?usp=sharing"",""งานกองทุน!R17"")"),135)</f>
        <v>135</v>
      </c>
      <c r="J785" s="194">
        <f ca="1">IFERROR(__xludf.DUMMYFUNCTION("IMPORTRANGE(""https://docs.google.com/spreadsheets/d/10OvvATaaLtwErnr3qtWFcTmtbfpFEt5Bsqel9sXx0uE/edit?usp=sharing"",""งานกองทุน!T17"")"),0)</f>
        <v>0</v>
      </c>
      <c r="K785" s="461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4B762-0793-43A5-9AE9-021C5F42B691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315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2327437</v>
      </c>
      <c r="M19" s="474">
        <f t="shared" ca="1" si="0"/>
        <v>2413798</v>
      </c>
      <c r="N19" s="474">
        <f t="shared" ca="1" si="0"/>
        <v>1432820.12</v>
      </c>
      <c r="O19" s="474">
        <f t="shared" ref="O19:O27" ca="1" si="1">IF(L19&gt;0,N19*100/L19,0)</f>
        <v>61.562144109593511</v>
      </c>
      <c r="P19" s="474">
        <f t="shared" ref="P19:P27" ca="1" si="2">IF(M19&gt;0,N19*100/M19,0)</f>
        <v>59.359570270586019</v>
      </c>
      <c r="Q19" s="474">
        <f t="shared" ref="Q19:S19" ca="1" si="3">Q20+Q21</f>
        <v>3531412.24</v>
      </c>
      <c r="R19" s="474">
        <f t="shared" ca="1" si="3"/>
        <v>3406412</v>
      </c>
      <c r="S19" s="474">
        <f t="shared" ca="1" si="3"/>
        <v>91297.95</v>
      </c>
      <c r="T19" s="474">
        <f t="shared" ref="T19:T27" ca="1" si="4">IF(Q19&gt;0,S19*100/Q19,0)</f>
        <v>2.5853098929056211</v>
      </c>
      <c r="U19" s="474">
        <f t="shared" ref="U19:U27" ca="1" si="5">IF(R19&gt;0,S19*100/R19,0)</f>
        <v>2.6801793206458879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2327437</v>
      </c>
      <c r="M21" s="480">
        <f t="shared" ca="1" si="6"/>
        <v>2413798</v>
      </c>
      <c r="N21" s="480">
        <f t="shared" ca="1" si="6"/>
        <v>1432820.12</v>
      </c>
      <c r="O21" s="480">
        <f t="shared" ca="1" si="1"/>
        <v>61.562144109593511</v>
      </c>
      <c r="P21" s="480">
        <f t="shared" ca="1" si="2"/>
        <v>59.359570270586019</v>
      </c>
      <c r="Q21" s="480">
        <f t="shared" ca="1" si="7"/>
        <v>3531412.24</v>
      </c>
      <c r="R21" s="480">
        <f t="shared" ca="1" si="7"/>
        <v>3406412</v>
      </c>
      <c r="S21" s="480">
        <f t="shared" ca="1" si="7"/>
        <v>91297.95</v>
      </c>
      <c r="T21" s="480">
        <f t="shared" ca="1" si="4"/>
        <v>2.5853098929056211</v>
      </c>
      <c r="U21" s="480">
        <f t="shared" ca="1" si="5"/>
        <v>2.6801793206458879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2327437</v>
      </c>
      <c r="M22" s="230">
        <f t="shared" ca="1" si="8"/>
        <v>2413798</v>
      </c>
      <c r="N22" s="230">
        <f t="shared" ca="1" si="8"/>
        <v>1432820.12</v>
      </c>
      <c r="O22" s="230">
        <f t="shared" ca="1" si="1"/>
        <v>61.562144109593511</v>
      </c>
      <c r="P22" s="230">
        <f t="shared" ca="1" si="2"/>
        <v>59.359570270586019</v>
      </c>
      <c r="Q22" s="230">
        <f t="shared" ref="Q22:S22" ca="1" si="9">Q23+Q24</f>
        <v>3531412.24</v>
      </c>
      <c r="R22" s="230">
        <f t="shared" ca="1" si="9"/>
        <v>3406412</v>
      </c>
      <c r="S22" s="230">
        <f t="shared" ca="1" si="9"/>
        <v>91297.95</v>
      </c>
      <c r="T22" s="230">
        <f t="shared" ca="1" si="4"/>
        <v>2.5853098929056211</v>
      </c>
      <c r="U22" s="230">
        <f t="shared" ca="1" si="5"/>
        <v>2.6801793206458879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2327437</v>
      </c>
      <c r="M24" s="230">
        <f t="shared" ca="1" si="10"/>
        <v>2413798</v>
      </c>
      <c r="N24" s="230">
        <f t="shared" ca="1" si="10"/>
        <v>1432820.12</v>
      </c>
      <c r="O24" s="230">
        <f t="shared" ca="1" si="1"/>
        <v>61.562144109593511</v>
      </c>
      <c r="P24" s="230">
        <f t="shared" ca="1" si="2"/>
        <v>59.359570270586019</v>
      </c>
      <c r="Q24" s="230">
        <f t="shared" ca="1" si="11"/>
        <v>3531412.24</v>
      </c>
      <c r="R24" s="230">
        <f t="shared" ca="1" si="11"/>
        <v>3406412</v>
      </c>
      <c r="S24" s="230">
        <f t="shared" ca="1" si="11"/>
        <v>91297.95</v>
      </c>
      <c r="T24" s="230">
        <f t="shared" ca="1" si="4"/>
        <v>2.5853098929056211</v>
      </c>
      <c r="U24" s="230">
        <f t="shared" ca="1" si="5"/>
        <v>2.6801793206458879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2327437</v>
      </c>
      <c r="M41" s="487">
        <f t="shared" ca="1" si="16"/>
        <v>2413798</v>
      </c>
      <c r="N41" s="487">
        <f t="shared" ca="1" si="16"/>
        <v>1432820.12</v>
      </c>
      <c r="O41" s="487">
        <f ca="1">IF(L41&gt;0,N41*100/L41,0)</f>
        <v>61.562144109593511</v>
      </c>
      <c r="P41" s="487">
        <f ca="1">IF(M41&gt;0,N41*100/M41,0)</f>
        <v>59.359570270586019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382392</v>
      </c>
      <c r="M45" s="491">
        <f t="shared" ca="1" si="17"/>
        <v>395683</v>
      </c>
      <c r="N45" s="491">
        <f t="shared" ca="1" si="17"/>
        <v>338553</v>
      </c>
      <c r="O45" s="491">
        <f t="shared" ref="O45:O53" ca="1" si="18">IF(L45&gt;0,N45*100/L45,0)</f>
        <v>88.53558651854641</v>
      </c>
      <c r="P45" s="491">
        <f t="shared" ref="P45:P53" ca="1" si="19">IF(M45&gt;0,N45*100/M45,0)</f>
        <v>85.561674370645193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382392</v>
      </c>
      <c r="M47" s="497">
        <f t="shared" ca="1" si="23"/>
        <v>395683</v>
      </c>
      <c r="N47" s="497">
        <f t="shared" ca="1" si="23"/>
        <v>338553</v>
      </c>
      <c r="O47" s="497">
        <f t="shared" ca="1" si="18"/>
        <v>88.53558651854641</v>
      </c>
      <c r="P47" s="497">
        <f t="shared" ca="1" si="19"/>
        <v>85.561674370645193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382392</v>
      </c>
      <c r="M48" s="230">
        <f t="shared" ca="1" si="25"/>
        <v>395683</v>
      </c>
      <c r="N48" s="230">
        <f t="shared" ca="1" si="25"/>
        <v>338553</v>
      </c>
      <c r="O48" s="230">
        <f t="shared" ca="1" si="18"/>
        <v>88.53558651854641</v>
      </c>
      <c r="P48" s="230">
        <f t="shared" ca="1" si="19"/>
        <v>85.561674370645193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IFERROR(__xludf.DUMMYFUNCTION("IMPORTRANGE(""https://docs.google.com/spreadsheets/d/1-uDff_7J0KD5mKrp0Vvzr7lt3OU09vwQwhkpOPPYv2Y/edit?usp=sharing"",""งบพรบ!P18"")"),382392)</f>
        <v>382392</v>
      </c>
      <c r="M50" s="230">
        <f ca="1">IFERROR(__xludf.DUMMYFUNCTION("IMPORTRANGE(""https://docs.google.com/spreadsheets/d/1-uDff_7J0KD5mKrp0Vvzr7lt3OU09vwQwhkpOPPYv2Y/edit?usp=sharing"",""งบพรบ!V18"")"),395683)</f>
        <v>395683</v>
      </c>
      <c r="N50" s="230">
        <f ca="1">IFERROR(__xludf.DUMMYFUNCTION("IMPORTRANGE(""https://docs.google.com/spreadsheets/d/1-uDff_7J0KD5mKrp0Vvzr7lt3OU09vwQwhkpOPPYv2Y/edit?usp=sharing"",""งบพรบ!Y18"")"),338553)</f>
        <v>338553</v>
      </c>
      <c r="O50" s="230">
        <f t="shared" ca="1" si="18"/>
        <v>88.53558651854641</v>
      </c>
      <c r="P50" s="230">
        <f t="shared" ca="1" si="19"/>
        <v>85.561674370645193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IFERROR(__xludf.DUMMYFUNCTION("IMPORTRANGE(""https://docs.google.com/spreadsheets/d/1-uDff_7J0KD5mKrp0Vvzr7lt3OU09vwQwhkpOPPYv2Y/edit?usp=sharing"",""งบพรบ!S18"")"),0)</f>
        <v>0</v>
      </c>
      <c r="M53" s="230">
        <f ca="1">IFERROR(__xludf.DUMMYFUNCTION("IMPORTRANGE(""https://docs.google.com/spreadsheets/d/1-uDff_7J0KD5mKrp0Vvzr7lt3OU09vwQwhkpOPPYv2Y/edit?usp=sharing"",""งบพรบ!W18"")"),0)</f>
        <v>0</v>
      </c>
      <c r="N53" s="230">
        <f ca="1">IFERROR(__xludf.DUMMYFUNCTION("IMPORTRANGE(""https://docs.google.com/spreadsheets/d/1-uDff_7J0KD5mKrp0Vvzr7lt3OU09vwQwhkpOPPYv2Y/edit?usp=sharing"",""งบพรบ!Z18"")"),0)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643100</v>
      </c>
      <c r="M60" s="502">
        <f t="shared" ca="1" si="29"/>
        <v>702640</v>
      </c>
      <c r="N60" s="502">
        <f t="shared" ca="1" si="29"/>
        <v>480026.12</v>
      </c>
      <c r="O60" s="502">
        <f t="shared" ref="O60:O68" ca="1" si="30">IF(L60&gt;0,N60*100/L60,0)</f>
        <v>74.642531488104495</v>
      </c>
      <c r="P60" s="502">
        <f t="shared" ref="P60:P68" ca="1" si="31">IF(M60&gt;0,N60*100/M60,0)</f>
        <v>68.317505408174881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643100</v>
      </c>
      <c r="M62" s="508">
        <f t="shared" ca="1" si="35"/>
        <v>702640</v>
      </c>
      <c r="N62" s="508">
        <f t="shared" ca="1" si="35"/>
        <v>480026.12</v>
      </c>
      <c r="O62" s="508">
        <f t="shared" ca="1" si="30"/>
        <v>74.642531488104495</v>
      </c>
      <c r="P62" s="508">
        <f t="shared" ca="1" si="31"/>
        <v>68.317505408174881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643100</v>
      </c>
      <c r="M63" s="230">
        <f t="shared" ca="1" si="37"/>
        <v>702640</v>
      </c>
      <c r="N63" s="230">
        <f t="shared" ca="1" si="37"/>
        <v>480026.12</v>
      </c>
      <c r="O63" s="230">
        <f t="shared" ca="1" si="30"/>
        <v>74.642531488104495</v>
      </c>
      <c r="P63" s="230">
        <f t="shared" ca="1" si="31"/>
        <v>68.317505408174881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IFERROR(__xludf.DUMMYFUNCTION("IMPORTRANGE(""https://docs.google.com/spreadsheets/d/1-uDff_7J0KD5mKrp0Vvzr7lt3OU09vwQwhkpOPPYv2Y/edit?usp=sharing"",""งบพรบ!AC18"")"),643100)</f>
        <v>643100</v>
      </c>
      <c r="M65" s="230">
        <f ca="1">IFERROR(__xludf.DUMMYFUNCTION("IMPORTRANGE(""https://docs.google.com/spreadsheets/d/1-uDff_7J0KD5mKrp0Vvzr7lt3OU09vwQwhkpOPPYv2Y/edit?usp=sharing"",""งบพรบ!AH18"")"),702640)</f>
        <v>702640</v>
      </c>
      <c r="N65" s="230">
        <f ca="1">IFERROR(__xludf.DUMMYFUNCTION("IMPORTRANGE(""https://docs.google.com/spreadsheets/d/1-uDff_7J0KD5mKrp0Vvzr7lt3OU09vwQwhkpOPPYv2Y/edit?usp=sharing"",""งบพรบ!AJ18"")"),480026.12)</f>
        <v>480026.12</v>
      </c>
      <c r="O65" s="230">
        <f t="shared" ca="1" si="30"/>
        <v>74.642531488104495</v>
      </c>
      <c r="P65" s="230">
        <f t="shared" ca="1" si="31"/>
        <v>68.317505408174881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IFERROR(__xludf.DUMMYFUNCTION("IMPORTRANGE(""https://docs.google.com/spreadsheets/d/1-uDff_7J0KD5mKrp0Vvzr7lt3OU09vwQwhkpOPPYv2Y/edit?usp=sharing"",""งบพรบ!AF18"")"),0)</f>
        <v>0</v>
      </c>
      <c r="M68" s="461">
        <f ca="1">IFERROR(__xludf.DUMMYFUNCTION("IMPORTRANGE(""https://docs.google.com/spreadsheets/d/1-uDff_7J0KD5mKrp0Vvzr7lt3OU09vwQwhkpOPPYv2Y/edit?usp=sharing"",""งบพรบ!AI18"")"),0)</f>
        <v>0</v>
      </c>
      <c r="N68" s="461">
        <f ca="1">IFERROR(__xludf.DUMMYFUNCTION("IMPORTRANGE(""https://docs.google.com/spreadsheets/d/1-uDff_7J0KD5mKrp0Vvzr7lt3OU09vwQwhkpOPPYv2Y/edit?usp=sharing"",""งบพรบ!AK18"")"),0)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31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90000</v>
      </c>
      <c r="M73" s="515">
        <f t="shared" ca="1" si="43"/>
        <v>90000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410120</v>
      </c>
      <c r="R73" s="515">
        <f t="shared" ca="1" si="46"/>
        <v>410120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90000</v>
      </c>
      <c r="M75" s="230">
        <f t="shared" ca="1" si="49"/>
        <v>90000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410120</v>
      </c>
      <c r="R75" s="230">
        <f t="shared" ca="1" si="50"/>
        <v>410120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90000</v>
      </c>
      <c r="M76" s="230">
        <f t="shared" ca="1" si="51"/>
        <v>90000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410120</v>
      </c>
      <c r="R76" s="230">
        <f t="shared" ca="1" si="52"/>
        <v>410120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IFERROR(__xludf.DUMMYFUNCTION("IMPORTRANGE(""https://docs.google.com/spreadsheets/d/1-uDff_7J0KD5mKrp0Vvzr7lt3OU09vwQwhkpOPPYv2Y/edit?usp=sharing"",""งบพรบ!AM18"")"),90000)</f>
        <v>90000</v>
      </c>
      <c r="M78" s="230">
        <f ca="1">IFERROR(__xludf.DUMMYFUNCTION("IMPORTRANGE(""https://docs.google.com/spreadsheets/d/1-uDff_7J0KD5mKrp0Vvzr7lt3OU09vwQwhkpOPPYv2Y/edit?usp=sharing"",""งบพรบ!AR18"")"),90000)</f>
        <v>90000</v>
      </c>
      <c r="N78" s="230">
        <f ca="1">IFERROR(__xludf.DUMMYFUNCTION("IMPORTRANGE(""https://docs.google.com/spreadsheets/d/1-uDff_7J0KD5mKrp0Vvzr7lt3OU09vwQwhkpOPPYv2Y/edit?usp=sharing"",""งบพรบ!AT18"")"),0)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IFERROR(__xludf.DUMMYFUNCTION("IMPORTRANGE(""https://docs.google.com/spreadsheets/d/1ItG2mGa2ceCfYo0BwxsXqNm01IGEUdYcSSLTEv9YCik/edit?usp=sharing"",""เบิกจ่ายกองทุน!AS18"")"),410120)</f>
        <v>410120</v>
      </c>
      <c r="R78" s="230">
        <f ca="1">IFERROR(__xludf.DUMMYFUNCTION("IMPORTRANGE(""https://docs.google.com/spreadsheets/d/1ItG2mGa2ceCfYo0BwxsXqNm01IGEUdYcSSLTEv9YCik/edit?usp=sharing"",""เบิกจ่ายกองทุน!AT18"")"),410120)</f>
        <v>410120</v>
      </c>
      <c r="S78" s="230">
        <f ca="1">IFERROR(__xludf.DUMMYFUNCTION("IMPORTRANGE(""https://docs.google.com/spreadsheets/d/1ItG2mGa2ceCfYo0BwxsXqNm01IGEUdYcSSLTEv9YCik/edit?usp=sharing"",""เบิกจ่ายกองทุน!AU18"")"),0)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IFERROR(__xludf.DUMMYFUNCTION("IMPORTRANGE(""https://docs.google.com/spreadsheets/d/1-uDff_7J0KD5mKrp0Vvzr7lt3OU09vwQwhkpOPPYv2Y/edit?usp=sharing"",""งบพรบ!AP18"")"),0)</f>
        <v>0</v>
      </c>
      <c r="M81" s="230">
        <f ca="1">IFERROR(__xludf.DUMMYFUNCTION("IMPORTRANGE(""https://docs.google.com/spreadsheets/d/1-uDff_7J0KD5mKrp0Vvzr7lt3OU09vwQwhkpOPPYv2Y/edit?usp=sharing"",""งบพรบ!AS18"")"),0)</f>
        <v>0</v>
      </c>
      <c r="N81" s="230">
        <f ca="1">IFERROR(__xludf.DUMMYFUNCTION("IMPORTRANGE(""https://docs.google.com/spreadsheets/d/1-uDff_7J0KD5mKrp0Vvzr7lt3OU09vwQwhkpOPPYv2Y/edit?usp=sharing"",""งบพรบ!AU18"")"),0)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31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IFERROR(__xludf.DUMMYFUNCTION("IMPORTRANGE(""https://docs.google.com/spreadsheets/d/1eHaY18a8A9IcSdp1K8H6x8fbOy06t2VsZHhMHf-1x7Y/edit?usp=sharing"",""แผน!H18"")"),1)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IFERROR(__xludf.DUMMYFUNCTION("IMPORTRANGE(""https://docs.google.com/spreadsheets/d/1eHaY18a8A9IcSdp1K8H6x8fbOy06t2VsZHhMHf-1x7Y/edit?usp=sharing"",""แผน!I18"")"),31)</f>
        <v>31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IFERROR(__xludf.DUMMYFUNCTION("IMPORTRANGE(""https://docs.google.com/spreadsheets/d/1eHaY18a8A9IcSdp1K8H6x8fbOy06t2VsZHhMHf-1x7Y/edit?usp=sharing"",""แผน!F18"")"),0)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IFERROR(__xludf.DUMMYFUNCTION("IMPORTRANGE(""https://docs.google.com/spreadsheets/d/1eHaY18a8A9IcSdp1K8H6x8fbOy06t2VsZHhMHf-1x7Y/edit?usp=sharing"",""แผน!G18"")"),0)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IFERROR(__xludf.DUMMYFUNCTION("IMPORTRANGE(""https://docs.google.com/spreadsheets/d/1eHaY18a8A9IcSdp1K8H6x8fbOy06t2VsZHhMHf-1x7Y/edit?usp=sharing"",""แผน!D18"")"),0)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IFERROR(__xludf.DUMMYFUNCTION("IMPORTRANGE(""https://docs.google.com/spreadsheets/d/1eHaY18a8A9IcSdp1K8H6x8fbOy06t2VsZHhMHf-1x7Y/edit?usp=sharing"",""แผน!E18"")"),0)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IFERROR(__xludf.DUMMYFUNCTION("IMPORTRANGE(""https://docs.google.com/spreadsheets/d/1eHaY18a8A9IcSdp1K8H6x8fbOy06t2VsZHhMHf-1x7Y/edit?usp=sharing"",""แผน!J18"")"),1)</f>
        <v>1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30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10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19500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64920</v>
      </c>
      <c r="R95" s="515">
        <f t="shared" ca="1" si="62"/>
        <v>64920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19500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64920</v>
      </c>
      <c r="R97" s="230">
        <f t="shared" ca="1" si="66"/>
        <v>64920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19500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64920</v>
      </c>
      <c r="R98" s="230">
        <f t="shared" ca="1" si="68"/>
        <v>64920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IFERROR(__xludf.DUMMYFUNCTION("IMPORTRANGE(""https://docs.google.com/spreadsheets/d/1-uDff_7J0KD5mKrp0Vvzr7lt3OU09vwQwhkpOPPYv2Y/edit?usp=sharing"",""งบพรบ!AW18"")"),0)</f>
        <v>0</v>
      </c>
      <c r="M100" s="230">
        <f ca="1">IFERROR(__xludf.DUMMYFUNCTION("IMPORTRANGE(""https://docs.google.com/spreadsheets/d/1-uDff_7J0KD5mKrp0Vvzr7lt3OU09vwQwhkpOPPYv2Y/edit?usp=sharing"",""งบพรบ!BB18"")"),19500)</f>
        <v>19500</v>
      </c>
      <c r="N100" s="230">
        <f ca="1">IFERROR(__xludf.DUMMYFUNCTION("IMPORTRANGE(""https://docs.google.com/spreadsheets/d/1-uDff_7J0KD5mKrp0Vvzr7lt3OU09vwQwhkpOPPYv2Y/edit?usp=sharing"",""งบพรบ!BD18"")"),0)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IFERROR(__xludf.DUMMYFUNCTION("IMPORTRANGE(""https://docs.google.com/spreadsheets/d/1ItG2mGa2ceCfYo0BwxsXqNm01IGEUdYcSSLTEv9YCik/edit?usp=sharing"",""เบิกจ่ายกองทุน!AD18"")"),64920)</f>
        <v>64920</v>
      </c>
      <c r="R100" s="230">
        <f ca="1">IFERROR(__xludf.DUMMYFUNCTION("IMPORTRANGE(""https://docs.google.com/spreadsheets/d/1ItG2mGa2ceCfYo0BwxsXqNm01IGEUdYcSSLTEv9YCik/edit?usp=sharing"",""เบิกจ่ายกองทุน!AE18"")"),64920)</f>
        <v>64920</v>
      </c>
      <c r="S100" s="230">
        <f ca="1">IFERROR(__xludf.DUMMYFUNCTION("IMPORTRANGE(""https://docs.google.com/spreadsheets/d/1ItG2mGa2ceCfYo0BwxsXqNm01IGEUdYcSSLTEv9YCik/edit?usp=sharing"",""เบิกจ่ายกองทุน!AF18"")"),0)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IFERROR(__xludf.DUMMYFUNCTION("IMPORTRANGE(""https://docs.google.com/spreadsheets/d/1-uDff_7J0KD5mKrp0Vvzr7lt3OU09vwQwhkpOPPYv2Y/edit?usp=sharing"",""งบพรบ!AZ18"")"),0)</f>
        <v>0</v>
      </c>
      <c r="M103" s="230">
        <f ca="1">IFERROR(__xludf.DUMMYFUNCTION("IMPORTRANGE(""https://docs.google.com/spreadsheets/d/1-uDff_7J0KD5mKrp0Vvzr7lt3OU09vwQwhkpOPPYv2Y/edit?usp=sharing"",""งบพรบ!BC18"")"),0)</f>
        <v>0</v>
      </c>
      <c r="N103" s="230">
        <f ca="1">IFERROR(__xludf.DUMMYFUNCTION("IMPORTRANGE(""https://docs.google.com/spreadsheets/d/1-uDff_7J0KD5mKrp0Vvzr7lt3OU09vwQwhkpOPPYv2Y/edit?usp=sharing"",""งบพรบ!BE18"")"),0)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IFERROR(__xludf.DUMMYFUNCTION("IMPORTRANGE(""https://docs.google.com/spreadsheets/d/1eHaY18a8A9IcSdp1K8H6x8fbOy06t2VsZHhMHf-1x7Y/edit?usp=sharing"",""แผน!N18"")"),30)</f>
        <v>30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IFERROR(__xludf.DUMMYFUNCTION("IMPORTRANGE(""https://docs.google.com/spreadsheets/d/1eHaY18a8A9IcSdp1K8H6x8fbOy06t2VsZHhMHf-1x7Y/edit?usp=sharing"",""แผน!O18"")"),10)</f>
        <v>10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IFERROR(__xludf.DUMMYFUNCTION("IMPORTRANGE(""https://docs.google.com/spreadsheets/d/1eHaY18a8A9IcSdp1K8H6x8fbOy06t2VsZHhMHf-1x7Y/edit?usp=sharing"",""แผน!S18"")"),0)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IFERROR(__xludf.DUMMYFUNCTION("IMPORTRANGE(""https://docs.google.com/spreadsheets/d/1eHaY18a8A9IcSdp1K8H6x8fbOy06t2VsZHhMHf-1x7Y/edit?usp=sharing"",""แผน!R18"")"),10)</f>
        <v>10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100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408480</v>
      </c>
      <c r="R118" s="515">
        <f t="shared" ca="1" si="77"/>
        <v>408480</v>
      </c>
      <c r="S118" s="515">
        <f t="shared" ca="1" si="77"/>
        <v>0</v>
      </c>
      <c r="T118" s="515">
        <f t="shared" ref="T118:T126" ca="1" si="78">IF(Q118&gt;0,S118*100/Q118,0)</f>
        <v>0</v>
      </c>
      <c r="U118" s="515">
        <f t="shared" ref="U118:U126" ca="1" si="79">IF(R118&gt;0,S118*100/R118,0)</f>
        <v>0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408480</v>
      </c>
      <c r="R120" s="230">
        <f t="shared" ca="1" si="81"/>
        <v>408480</v>
      </c>
      <c r="S120" s="230">
        <f t="shared" ca="1" si="81"/>
        <v>0</v>
      </c>
      <c r="T120" s="230">
        <f t="shared" ca="1" si="78"/>
        <v>0</v>
      </c>
      <c r="U120" s="230">
        <f t="shared" ca="1" si="79"/>
        <v>0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408480</v>
      </c>
      <c r="R121" s="230">
        <f t="shared" ca="1" si="83"/>
        <v>408480</v>
      </c>
      <c r="S121" s="230">
        <f t="shared" ca="1" si="83"/>
        <v>0</v>
      </c>
      <c r="T121" s="230">
        <f t="shared" ca="1" si="78"/>
        <v>0</v>
      </c>
      <c r="U121" s="230">
        <f t="shared" ca="1" si="79"/>
        <v>0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IFERROR(__xludf.DUMMYFUNCTION("IMPORTRANGE(""https://docs.google.com/spreadsheets/d/1-uDff_7J0KD5mKrp0Vvzr7lt3OU09vwQwhkpOPPYv2Y/edit?usp=sharing"",""งบพรบ!BG18"")"),0)</f>
        <v>0</v>
      </c>
      <c r="M123" s="230">
        <f ca="1">IFERROR(__xludf.DUMMYFUNCTION("IMPORTRANGE(""https://docs.google.com/spreadsheets/d/1-uDff_7J0KD5mKrp0Vvzr7lt3OU09vwQwhkpOPPYv2Y/edit?usp=sharing"",""งบพรบ!BL18"")"),0)</f>
        <v>0</v>
      </c>
      <c r="N123" s="230">
        <f ca="1">IFERROR(__xludf.DUMMYFUNCTION("IMPORTRANGE(""https://docs.google.com/spreadsheets/d/1-uDff_7J0KD5mKrp0Vvzr7lt3OU09vwQwhkpOPPYv2Y/edit?usp=sharing"",""งบพรบ!BN18"")"),0)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IFERROR(__xludf.DUMMYFUNCTION("IMPORTRANGE(""https://docs.google.com/spreadsheets/d/1ItG2mGa2ceCfYo0BwxsXqNm01IGEUdYcSSLTEv9YCik/edit?usp=sharing"",""เบิกจ่ายกองทุน!R18"")"),408480)</f>
        <v>408480</v>
      </c>
      <c r="R123" s="230">
        <f ca="1">IFERROR(__xludf.DUMMYFUNCTION("IMPORTRANGE(""https://docs.google.com/spreadsheets/d/1ItG2mGa2ceCfYo0BwxsXqNm01IGEUdYcSSLTEv9YCik/edit?usp=sharing"",""เบิกจ่ายกองทุน!S18"")"),408480)</f>
        <v>408480</v>
      </c>
      <c r="S123" s="230">
        <f ca="1">IFERROR(__xludf.DUMMYFUNCTION("IMPORTRANGE(""https://docs.google.com/spreadsheets/d/1ItG2mGa2ceCfYo0BwxsXqNm01IGEUdYcSSLTEv9YCik/edit?usp=sharing"",""เบิกจ่ายกองทุน!T18"")"),0)</f>
        <v>0</v>
      </c>
      <c r="T123" s="230">
        <f t="shared" ca="1" si="78"/>
        <v>0</v>
      </c>
      <c r="U123" s="230">
        <f t="shared" ca="1" si="79"/>
        <v>0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IFERROR(__xludf.DUMMYFUNCTION("IMPORTRANGE(""https://docs.google.com/spreadsheets/d/1-uDff_7J0KD5mKrp0Vvzr7lt3OU09vwQwhkpOPPYv2Y/edit?usp=sharing"",""งบพรบ!BJ18"")"),0)</f>
        <v>0</v>
      </c>
      <c r="M126" s="230">
        <f ca="1">IFERROR(__xludf.DUMMYFUNCTION("IMPORTRANGE(""https://docs.google.com/spreadsheets/d/1-uDff_7J0KD5mKrp0Vvzr7lt3OU09vwQwhkpOPPYv2Y/edit?usp=sharing"",""งบพรบ!BM18"")"),0)</f>
        <v>0</v>
      </c>
      <c r="N126" s="230">
        <f ca="1">IFERROR(__xludf.DUMMYFUNCTION("IMPORTRANGE(""https://docs.google.com/spreadsheets/d/1-uDff_7J0KD5mKrp0Vvzr7lt3OU09vwQwhkpOPPYv2Y/edit?usp=sharing"",""งบพรบ!BO18"")"),0)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IFERROR(__xludf.DUMMYFUNCTION("IMPORTRANGE(""https://docs.google.com/spreadsheets/d/1eHaY18a8A9IcSdp1K8H6x8fbOy06t2VsZHhMHf-1x7Y/edit?usp=sharing"",""แผน!FF18"")"),100)</f>
        <v>100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IFERROR(__xludf.DUMMYFUNCTION("IMPORTRANGE(""https://docs.google.com/spreadsheets/d/1eHaY18a8A9IcSdp1K8H6x8fbOy06t2VsZHhMHf-1x7Y/edit?usp=sharing"",""แผน!FG18"")"),0)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IFERROR(__xludf.DUMMYFUNCTION("IMPORTRANGE(""https://docs.google.com/spreadsheets/d/1eHaY18a8A9IcSdp1K8H6x8fbOy06t2VsZHhMHf-1x7Y/edit?usp=sharing"",""แผน!FH18"")"),20)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IFERROR(__xludf.DUMMYFUNCTION("IMPORTRANGE(""https://docs.google.com/spreadsheets/d/1eHaY18a8A9IcSdp1K8H6x8fbOy06t2VsZHhMHf-1x7Y/edit?usp=sharing"",""แผน!FI18"")"),0)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20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2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31600</v>
      </c>
      <c r="M140" s="515">
        <f t="shared" ca="1" si="90"/>
        <v>26600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31600</v>
      </c>
      <c r="M142" s="230">
        <f t="shared" ca="1" si="96"/>
        <v>26600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31600</v>
      </c>
      <c r="M143" s="230">
        <f t="shared" ca="1" si="98"/>
        <v>26600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IFERROR(__xludf.DUMMYFUNCTION("IMPORTRANGE(""https://docs.google.com/spreadsheets/d/1-uDff_7J0KD5mKrp0Vvzr7lt3OU09vwQwhkpOPPYv2Y/edit?usp=sharing"",""งบพรบ!BQ18"")"),31600)</f>
        <v>31600</v>
      </c>
      <c r="M145" s="230">
        <f ca="1">IFERROR(__xludf.DUMMYFUNCTION("IMPORTRANGE(""https://docs.google.com/spreadsheets/d/1-uDff_7J0KD5mKrp0Vvzr7lt3OU09vwQwhkpOPPYv2Y/edit?usp=sharing"",""งบพรบ!BV18"")"),26600)</f>
        <v>26600</v>
      </c>
      <c r="N145" s="230">
        <f ca="1">IFERROR(__xludf.DUMMYFUNCTION("IMPORTRANGE(""https://docs.google.com/spreadsheets/d/1-uDff_7J0KD5mKrp0Vvzr7lt3OU09vwQwhkpOPPYv2Y/edit?usp=sharing"",""งบพรบ!BX18"")"),0)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IFERROR(__xludf.DUMMYFUNCTION("IMPORTRANGE(""https://docs.google.com/spreadsheets/d/1ItG2mGa2ceCfYo0BwxsXqNm01IGEUdYcSSLTEv9YCik/edit?usp=sharing"",""เบิกจ่ายกองทุน!BB18"")"),0)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IFERROR(__xludf.DUMMYFUNCTION("IMPORTRANGE(""https://docs.google.com/spreadsheets/d/1ItG2mGa2ceCfYo0BwxsXqNm01IGEUdYcSSLTEv9YCik/edit?usp=sharing"",""เบิกจ่ายกองทุน!BC18"")"),0)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IFERROR(__xludf.DUMMYFUNCTION("IMPORTRANGE(""https://docs.google.com/spreadsheets/d/1ItG2mGa2ceCfYo0BwxsXqNm01IGEUdYcSSLTEv9YCik/edit?usp=sharing"",""เบิกจ่ายกองทุน!BD18"")"),0)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IFERROR(__xludf.DUMMYFUNCTION("IMPORTRANGE(""https://docs.google.com/spreadsheets/d/1-uDff_7J0KD5mKrp0Vvzr7lt3OU09vwQwhkpOPPYv2Y/edit?usp=sharing"",""งบพรบ!BT18"")"),0)</f>
        <v>0</v>
      </c>
      <c r="M148" s="230">
        <f ca="1">IFERROR(__xludf.DUMMYFUNCTION("IMPORTRANGE(""https://docs.google.com/spreadsheets/d/1-uDff_7J0KD5mKrp0Vvzr7lt3OU09vwQwhkpOPPYv2Y/edit?usp=sharing"",""งบพรบ!BW18"")"),0)</f>
        <v>0</v>
      </c>
      <c r="N148" s="230">
        <f ca="1">IFERROR(__xludf.DUMMYFUNCTION("IMPORTRANGE(""https://docs.google.com/spreadsheets/d/1-uDff_7J0KD5mKrp0Vvzr7lt3OU09vwQwhkpOPPYv2Y/edit?usp=sharing"",""งบพรบ!BY18"")"),0)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IFERROR(__xludf.DUMMYFUNCTION("IMPORTRANGE(""https://docs.google.com/spreadsheets/d/1eHaY18a8A9IcSdp1K8H6x8fbOy06t2VsZHhMHf-1x7Y/edit?usp=sharing"",""แผน!U18"")"),0)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IFERROR(__xludf.DUMMYFUNCTION("IMPORTRANGE(""https://docs.google.com/spreadsheets/d/1eHaY18a8A9IcSdp1K8H6x8fbOy06t2VsZHhMHf-1x7Y/edit?usp=sharing"",""แผน!V18"")"),0)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IFERROR(__xludf.DUMMYFUNCTION("IMPORTRANGE(""https://docs.google.com/spreadsheets/d/1eHaY18a8A9IcSdp1K8H6x8fbOy06t2VsZHhMHf-1x7Y/edit?usp=sharing"",""แผน!W18"")"),20)</f>
        <v>20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IFERROR(__xludf.DUMMYFUNCTION("IMPORTRANGE(""https://docs.google.com/spreadsheets/d/1eHaY18a8A9IcSdp1K8H6x8fbOy06t2VsZHhMHf-1x7Y/edit?usp=sharing"",""แผน!X18"")"),2)</f>
        <v>2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IFERROR(__xludf.DUMMYFUNCTION("IMPORTRANGE(""https://docs.google.com/spreadsheets/d/1eHaY18a8A9IcSdp1K8H6x8fbOy06t2VsZHhMHf-1x7Y/edit?usp=sharing"",""แผน!Y18"")"),0)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I168</f>
        <v>15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4500</v>
      </c>
      <c r="M158" s="515">
        <f t="shared" ca="1" si="104"/>
        <v>2250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4500</v>
      </c>
      <c r="M160" s="230">
        <f t="shared" ca="1" si="110"/>
        <v>2250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4500</v>
      </c>
      <c r="M161" s="230">
        <f t="shared" ca="1" si="112"/>
        <v>2250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IFERROR(__xludf.DUMMYFUNCTION("IMPORTRANGE(""https://docs.google.com/spreadsheets/d/1-uDff_7J0KD5mKrp0Vvzr7lt3OU09vwQwhkpOPPYv2Y/edit?usp=sharing"",""งบพรบ!CA18"")"),4500)</f>
        <v>4500</v>
      </c>
      <c r="M163" s="230">
        <f ca="1">IFERROR(__xludf.DUMMYFUNCTION("IMPORTRANGE(""https://docs.google.com/spreadsheets/d/1-uDff_7J0KD5mKrp0Vvzr7lt3OU09vwQwhkpOPPYv2Y/edit?usp=sharing"",""งบพรบ!CF18"")"),2250)</f>
        <v>2250</v>
      </c>
      <c r="N163" s="230">
        <f ca="1">IFERROR(__xludf.DUMMYFUNCTION("IMPORTRANGE(""https://docs.google.com/spreadsheets/d/1-uDff_7J0KD5mKrp0Vvzr7lt3OU09vwQwhkpOPPYv2Y/edit?usp=sharing"",""งบพรบ!CH18"")"),0)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IFERROR(__xludf.DUMMYFUNCTION("IMPORTRANGE(""https://docs.google.com/spreadsheets/d/1ItG2mGa2ceCfYo0BwxsXqNm01IGEUdYcSSLTEv9YCik/edit?usp=sharing"",""เบิกจ่ายกองทุน!AG18"")"),0)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IFERROR(__xludf.DUMMYFUNCTION("IMPORTRANGE(""https://docs.google.com/spreadsheets/d/1ItG2mGa2ceCfYo0BwxsXqNm01IGEUdYcSSLTEv9YCik/edit?usp=sharing"",""เบิกจ่ายกองทุน!AH18"")"),0)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IFERROR(__xludf.DUMMYFUNCTION("IMPORTRANGE(""https://docs.google.com/spreadsheets/d/1ItG2mGa2ceCfYo0BwxsXqNm01IGEUdYcSSLTEv9YCik/edit?usp=sharing"",""เบิกจ่ายกองทุน!AI18"")"),0)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IFERROR(__xludf.DUMMYFUNCTION("IMPORTRANGE(""https://docs.google.com/spreadsheets/d/1-uDff_7J0KD5mKrp0Vvzr7lt3OU09vwQwhkpOPPYv2Y/edit?usp=sharing"",""งบพรบ!CD18"")"),0)</f>
        <v>0</v>
      </c>
      <c r="M166" s="230">
        <f ca="1">IFERROR(__xludf.DUMMYFUNCTION("IMPORTRANGE(""https://docs.google.com/spreadsheets/d/1-uDff_7J0KD5mKrp0Vvzr7lt3OU09vwQwhkpOPPYv2Y/edit?usp=sharing"",""งบพรบ!CG18"")"),0)</f>
        <v>0</v>
      </c>
      <c r="N166" s="230">
        <f ca="1">IFERROR(__xludf.DUMMYFUNCTION("IMPORTRANGE(""https://docs.google.com/spreadsheets/d/1-uDff_7J0KD5mKrp0Vvzr7lt3OU09vwQwhkpOPPYv2Y/edit?usp=sharing"",""งบพรบ!CI18"")"),0)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IFERROR(__xludf.DUMMYFUNCTION("IMPORTRANGE(""https://docs.google.com/spreadsheets/d/1eHaY18a8A9IcSdp1K8H6x8fbOy06t2VsZHhMHf-1x7Y/edit?usp=sharing"",""แผน!Z18"")"),15)</f>
        <v>15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15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15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30550</v>
      </c>
      <c r="N174" s="515">
        <f t="shared" ca="1" si="118"/>
        <v>19590</v>
      </c>
      <c r="O174" s="515">
        <f t="shared" ref="O174:O182" ca="1" si="119">IF(L174&gt;0,N174*100/L174,0)</f>
        <v>100</v>
      </c>
      <c r="P174" s="515">
        <f t="shared" ref="P174:P182" ca="1" si="120">IF(M174&gt;0,N174*100/M174,0)</f>
        <v>64.124386252045824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30550</v>
      </c>
      <c r="N176" s="230">
        <f t="shared" ca="1" si="124"/>
        <v>19590</v>
      </c>
      <c r="O176" s="230">
        <f t="shared" ca="1" si="119"/>
        <v>100</v>
      </c>
      <c r="P176" s="230">
        <f t="shared" ca="1" si="120"/>
        <v>64.124386252045824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30550</v>
      </c>
      <c r="N177" s="230">
        <f t="shared" ca="1" si="126"/>
        <v>19590</v>
      </c>
      <c r="O177" s="230">
        <f t="shared" ca="1" si="119"/>
        <v>100</v>
      </c>
      <c r="P177" s="230">
        <f t="shared" ca="1" si="120"/>
        <v>64.124386252045824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IFERROR(__xludf.DUMMYFUNCTION("IMPORTRANGE(""https://docs.google.com/spreadsheets/d/1-uDff_7J0KD5mKrp0Vvzr7lt3OU09vwQwhkpOPPYv2Y/edit?usp=sharing"",""งบพรบ!CK18"")"),19590)</f>
        <v>19590</v>
      </c>
      <c r="M179" s="230">
        <f ca="1">IFERROR(__xludf.DUMMYFUNCTION("IMPORTRANGE(""https://docs.google.com/spreadsheets/d/1-uDff_7J0KD5mKrp0Vvzr7lt3OU09vwQwhkpOPPYv2Y/edit?usp=sharing"",""งบพรบ!CP18"")"),30550)</f>
        <v>30550</v>
      </c>
      <c r="N179" s="230">
        <f ca="1">IFERROR(__xludf.DUMMYFUNCTION("IMPORTRANGE(""https://docs.google.com/spreadsheets/d/1-uDff_7J0KD5mKrp0Vvzr7lt3OU09vwQwhkpOPPYv2Y/edit?usp=sharing"",""งบพรบ!CR18"")"),19590)</f>
        <v>19590</v>
      </c>
      <c r="O179" s="230">
        <f t="shared" ca="1" si="119"/>
        <v>100</v>
      </c>
      <c r="P179" s="230">
        <f t="shared" ca="1" si="120"/>
        <v>64.124386252045824</v>
      </c>
      <c r="Q179" s="230">
        <f ca="1">IFERROR(__xludf.DUMMYFUNCTION("IMPORTRANGE(""https://docs.google.com/spreadsheets/d/1ItG2mGa2ceCfYo0BwxsXqNm01IGEUdYcSSLTEv9YCik/edit?usp=sharing"",""เบิกจ่ายกองทุน!BE18"")"),0)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IFERROR(__xludf.DUMMYFUNCTION("IMPORTRANGE(""https://docs.google.com/spreadsheets/d/1ItG2mGa2ceCfYo0BwxsXqNm01IGEUdYcSSLTEv9YCik/edit?usp=sharing"",""เบิกจ่ายกองทุน!BF18"")"),0)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IFERROR(__xludf.DUMMYFUNCTION("IMPORTRANGE(""https://docs.google.com/spreadsheets/d/1ItG2mGa2ceCfYo0BwxsXqNm01IGEUdYcSSLTEv9YCik/edit?usp=sharing"",""เบิกจ่ายกองทุน!BG18"")"),0)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IFERROR(__xludf.DUMMYFUNCTION("IMPORTRANGE(""https://docs.google.com/spreadsheets/d/1-uDff_7J0KD5mKrp0Vvzr7lt3OU09vwQwhkpOPPYv2Y/edit?usp=sharing"",""งบพรบ!CN18"")"),0)</f>
        <v>0</v>
      </c>
      <c r="M182" s="230">
        <f ca="1">IFERROR(__xludf.DUMMYFUNCTION("IMPORTRANGE(""https://docs.google.com/spreadsheets/d/1-uDff_7J0KD5mKrp0Vvzr7lt3OU09vwQwhkpOPPYv2Y/edit?usp=sharing"",""งบพรบ!CQ18"")"),0)</f>
        <v>0</v>
      </c>
      <c r="N182" s="230">
        <f ca="1">IFERROR(__xludf.DUMMYFUNCTION("IMPORTRANGE(""https://docs.google.com/spreadsheets/d/1-uDff_7J0KD5mKrp0Vvzr7lt3OU09vwQwhkpOPPYv2Y/edit?usp=sharing"",""งบพรบ!CS18"")"),0)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IFERROR(__xludf.DUMMYFUNCTION("IMPORTRANGE(""https://docs.google.com/spreadsheets/d/1eHaY18a8A9IcSdp1K8H6x8fbOy06t2VsZHhMHf-1x7Y/edit?usp=sharing"",""แผน!AA18"")"),7)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161500</v>
      </c>
      <c r="M187" s="515">
        <f t="shared" ca="1" si="132"/>
        <v>134500</v>
      </c>
      <c r="N187" s="515">
        <f t="shared" ca="1" si="132"/>
        <v>37282</v>
      </c>
      <c r="O187" s="515">
        <f t="shared" ref="O187:O195" ca="1" si="133">IF(L187&gt;0,N187*100/L187,0)</f>
        <v>23.08482972136223</v>
      </c>
      <c r="P187" s="515">
        <f t="shared" ref="P187:P195" ca="1" si="134">IF(M187&gt;0,N187*100/M187,0)</f>
        <v>27.71895910780669</v>
      </c>
      <c r="Q187" s="515">
        <f t="shared" ref="Q187:S187" ca="1" si="135">Q188+Q189</f>
        <v>70000</v>
      </c>
      <c r="R187" s="515">
        <f t="shared" ca="1" si="135"/>
        <v>70000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161500</v>
      </c>
      <c r="M189" s="230">
        <f t="shared" ca="1" si="138"/>
        <v>134500</v>
      </c>
      <c r="N189" s="230">
        <f t="shared" ca="1" si="138"/>
        <v>37282</v>
      </c>
      <c r="O189" s="230">
        <f t="shared" ca="1" si="133"/>
        <v>23.08482972136223</v>
      </c>
      <c r="P189" s="230">
        <f t="shared" ca="1" si="134"/>
        <v>27.71895910780669</v>
      </c>
      <c r="Q189" s="230">
        <f t="shared" ca="1" si="139"/>
        <v>70000</v>
      </c>
      <c r="R189" s="230">
        <f t="shared" ca="1" si="139"/>
        <v>70000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161500</v>
      </c>
      <c r="M190" s="230">
        <f t="shared" ca="1" si="140"/>
        <v>134500</v>
      </c>
      <c r="N190" s="230">
        <f t="shared" ca="1" si="140"/>
        <v>37282</v>
      </c>
      <c r="O190" s="230">
        <f t="shared" ca="1" si="133"/>
        <v>23.08482972136223</v>
      </c>
      <c r="P190" s="230">
        <f t="shared" ca="1" si="134"/>
        <v>27.71895910780669</v>
      </c>
      <c r="Q190" s="230">
        <f t="shared" ref="Q190:S190" ca="1" si="141">Q191+Q192</f>
        <v>70000</v>
      </c>
      <c r="R190" s="230">
        <f t="shared" ca="1" si="141"/>
        <v>70000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IFERROR(__xludf.DUMMYFUNCTION("IMPORTRANGE(""https://docs.google.com/spreadsheets/d/1-uDff_7J0KD5mKrp0Vvzr7lt3OU09vwQwhkpOPPYv2Y/edit?usp=sharing"",""งบพรบ!CU18"")"),161500)</f>
        <v>161500</v>
      </c>
      <c r="M192" s="230">
        <f ca="1">IFERROR(__xludf.DUMMYFUNCTION("IMPORTRANGE(""https://docs.google.com/spreadsheets/d/1-uDff_7J0KD5mKrp0Vvzr7lt3OU09vwQwhkpOPPYv2Y/edit?usp=sharing"",""งบพรบ!CZ18"")"),134500)</f>
        <v>134500</v>
      </c>
      <c r="N192" s="230">
        <f ca="1">IFERROR(__xludf.DUMMYFUNCTION("IMPORTRANGE(""https://docs.google.com/spreadsheets/d/1-uDff_7J0KD5mKrp0Vvzr7lt3OU09vwQwhkpOPPYv2Y/edit?usp=sharing"",""งบพรบ!DB18"")"),37282)</f>
        <v>37282</v>
      </c>
      <c r="O192" s="230">
        <f t="shared" ca="1" si="133"/>
        <v>23.08482972136223</v>
      </c>
      <c r="P192" s="230">
        <f t="shared" ca="1" si="134"/>
        <v>27.71895910780669</v>
      </c>
      <c r="Q192" s="230">
        <f ca="1">IFERROR(__xludf.DUMMYFUNCTION("IMPORTRANGE(""https://docs.google.com/spreadsheets/d/1ItG2mGa2ceCfYo0BwxsXqNm01IGEUdYcSSLTEv9YCik/edit?usp=sharing"",""เบิกจ่ายกองทุน!AV18"")"),70000)</f>
        <v>70000</v>
      </c>
      <c r="R192" s="230">
        <f ca="1">IFERROR(__xludf.DUMMYFUNCTION("IMPORTRANGE(""https://docs.google.com/spreadsheets/d/1ItG2mGa2ceCfYo0BwxsXqNm01IGEUdYcSSLTEv9YCik/edit?usp=sharing"",""เบิกจ่ายกองทุน!AW18"")"),70000)</f>
        <v>70000</v>
      </c>
      <c r="S192" s="230">
        <f ca="1">IFERROR(__xludf.DUMMYFUNCTION("IMPORTRANGE(""https://docs.google.com/spreadsheets/d/1ItG2mGa2ceCfYo0BwxsXqNm01IGEUdYcSSLTEv9YCik/edit?usp=sharing"",""เบิกจ่ายกองทุน!AX18"")"),0)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IFERROR(__xludf.DUMMYFUNCTION("IMPORTRANGE(""https://docs.google.com/spreadsheets/d/1-uDff_7J0KD5mKrp0Vvzr7lt3OU09vwQwhkpOPPYv2Y/edit?usp=sharing"",""งบพรบ!CX18"")"),0)</f>
        <v>0</v>
      </c>
      <c r="M195" s="230">
        <f ca="1">IFERROR(__xludf.DUMMYFUNCTION("IMPORTRANGE(""https://docs.google.com/spreadsheets/d/1-uDff_7J0KD5mKrp0Vvzr7lt3OU09vwQwhkpOPPYv2Y/edit?usp=sharing"",""งบพรบ!DA18"")"),0)</f>
        <v>0</v>
      </c>
      <c r="N195" s="230">
        <f ca="1">IFERROR(__xludf.DUMMYFUNCTION("IMPORTRANGE(""https://docs.google.com/spreadsheets/d/1-uDff_7J0KD5mKrp0Vvzr7lt3OU09vwQwhkpOPPYv2Y/edit?usp=sharing"",""งบพรบ!DC18"")"),0)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IFERROR(__xludf.DUMMYFUNCTION("IMPORTRANGE(""https://docs.google.com/spreadsheets/d/1eHaY18a8A9IcSdp1K8H6x8fbOy06t2VsZHhMHf-1x7Y/edit?usp=sharing"",""แผน!AB18"")"),6000)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IFERROR(__xludf.DUMMYFUNCTION("IMPORTRANGE(""https://docs.google.com/spreadsheets/d/1eHaY18a8A9IcSdp1K8H6x8fbOy06t2VsZHhMHf-1x7Y/edit?usp=sharing"",""แผน!AE18"")"),4)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4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52000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IFERROR(__xludf.DUMMYFUNCTION("IMPORTRANGE(""https://docs.google.com/spreadsheets/d/1eHaY18a8A9IcSdp1K8H6x8fbOy06t2VsZHhMHf-1x7Y/edit?usp=sharing"",""แผน!AG18"")"),4000)</f>
        <v>4000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IFERROR(__xludf.DUMMYFUNCTION("IMPORTRANGE(""https://docs.google.com/spreadsheets/d/1eHaY18a8A9IcSdp1K8H6x8fbOy06t2VsZHhMHf-1x7Y/edit?usp=sharing"",""แผน!AH18"")"),0)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IFERROR(__xludf.DUMMYFUNCTION("IMPORTRANGE(""https://docs.google.com/spreadsheets/d/1eHaY18a8A9IcSdp1K8H6x8fbOy06t2VsZHhMHf-1x7Y/edit?usp=sharing"",""แผน!AI18"")"),32000)</f>
        <v>32000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IFERROR(__xludf.DUMMYFUNCTION("IMPORTRANGE(""https://docs.google.com/spreadsheets/d/1eHaY18a8A9IcSdp1K8H6x8fbOy06t2VsZHhMHf-1x7Y/edit?usp=sharing"",""แผน!AJ18"")"),16000)</f>
        <v>16000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IFERROR(__xludf.DUMMYFUNCTION("IMPORTRANGE(""https://docs.google.com/spreadsheets/d/1eHaY18a8A9IcSdp1K8H6x8fbOy06t2VsZHhMHf-1x7Y/edit?usp=sharing"",""แผน!AK18"")"),4)</f>
        <v>4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IFERROR(__xludf.DUMMYFUNCTION("IMPORTRANGE(""https://docs.google.com/spreadsheets/d/1eHaY18a8A9IcSdp1K8H6x8fbOy06t2VsZHhMHf-1x7Y/edit?usp=sharing"",""แผน!JX18"")"),4)</f>
        <v>4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IFERROR(__xludf.DUMMYFUNCTION("IMPORTRANGE(""https://docs.google.com/spreadsheets/d/1eHaY18a8A9IcSdp1K8H6x8fbOy06t2VsZHhMHf-1x7Y/edit?usp=sharing"",""แผน!JY18"")"),0)</f>
        <v>0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IFERROR(__xludf.DUMMYFUNCTION("IMPORTRANGE(""https://docs.google.com/spreadsheets/d/1eHaY18a8A9IcSdp1K8H6x8fbOy06t2VsZHhMHf-1x7Y/edit?usp=sharing"",""แผน!AM18"")"),0)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IFERROR(__xludf.DUMMYFUNCTION("IMPORTRANGE(""https://docs.google.com/spreadsheets/d/1eHaY18a8A9IcSdp1K8H6x8fbOy06t2VsZHhMHf-1x7Y/edit?usp=sharing"",""แผน!AN18"")"),0)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IFERROR(__xludf.DUMMYFUNCTION("IMPORTRANGE(""https://docs.google.com/spreadsheets/d/1eHaY18a8A9IcSdp1K8H6x8fbOy06t2VsZHhMHf-1x7Y/edit?usp=sharing"",""แผน!AO18"")"),0)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IFERROR(__xludf.DUMMYFUNCTION("IMPORTRANGE(""https://docs.google.com/spreadsheets/d/1eHaY18a8A9IcSdp1K8H6x8fbOy06t2VsZHhMHf-1x7Y/edit?usp=sharing"",""แผน!AP18"")"),0)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IFERROR(__xludf.DUMMYFUNCTION("IMPORTRANGE(""https://docs.google.com/spreadsheets/d/1eHaY18a8A9IcSdp1K8H6x8fbOy06t2VsZHhMHf-1x7Y/edit?usp=sharing"",""แผน!AP18"")"),0)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100000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12500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IFERROR(__xludf.DUMMYFUNCTION("IMPORTRANGE(""https://docs.google.com/spreadsheets/d/1eHaY18a8A9IcSdp1K8H6x8fbOy06t2VsZHhMHf-1x7Y/edit?usp=sharing"",""แผน!AR18"")"),11000)</f>
        <v>11000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IFERROR(__xludf.DUMMYFUNCTION("IMPORTRANGE(""https://docs.google.com/spreadsheets/d/1eHaY18a8A9IcSdp1K8H6x8fbOy06t2VsZHhMHf-1x7Y/edit?usp=sharing"",""แผน!AS18"")"),1500)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IFERROR(__xludf.DUMMYFUNCTION("IMPORTRANGE(""https://docs.google.com/spreadsheets/d/1eHaY18a8A9IcSdp1K8H6x8fbOy06t2VsZHhMHf-1x7Y/edit?usp=sharing"",""แผน!AT18"")"),0)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IFERROR(__xludf.DUMMYFUNCTION("IMPORTRANGE(""https://docs.google.com/spreadsheets/d/1eHaY18a8A9IcSdp1K8H6x8fbOy06t2VsZHhMHf-1x7Y/edit?usp=sharing"",""แผน!AV18"")"),100000)</f>
        <v>100000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IFERROR(__xludf.DUMMYFUNCTION("IMPORTRANGE(""https://docs.google.com/spreadsheets/d/1eHaY18a8A9IcSdp1K8H6x8fbOy06t2VsZHhMHf-1x7Y/edit?usp=sharing"",""แผน!AV18"")"),100000)</f>
        <v>100000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IFERROR(__xludf.DUMMYFUNCTION("IMPORTRANGE(""https://docs.google.com/spreadsheets/d/1eHaY18a8A9IcSdp1K8H6x8fbOy06t2VsZHhMHf-1x7Y/edit?usp=sharing"",""แผน!AU18"")"),0)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IFERROR(__xludf.DUMMYFUNCTION("IMPORTRANGE(""https://docs.google.com/spreadsheets/d/1eHaY18a8A9IcSdp1K8H6x8fbOy06t2VsZHhMHf-1x7Y/edit?usp=sharing"",""แผน!AX18"")"),0)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IFERROR(__xludf.DUMMYFUNCTION("IMPORTRANGE(""https://docs.google.com/spreadsheets/d/1eHaY18a8A9IcSdp1K8H6x8fbOy06t2VsZHhMHf-1x7Y/edit?usp=sharing"",""แผน!AY18"")"),0)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IFERROR(__xludf.DUMMYFUNCTION("IMPORTRANGE(""https://docs.google.com/spreadsheets/d/1eHaY18a8A9IcSdp1K8H6x8fbOy06t2VsZHhMHf-1x7Y/edit?usp=sharing"",""แผน!AZ18"")"),0)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IFERROR(__xludf.DUMMYFUNCTION("IMPORTRANGE(""https://docs.google.com/spreadsheets/d/1eHaY18a8A9IcSdp1K8H6x8fbOy06t2VsZHhMHf-1x7Y/edit?usp=sharing"",""แผน!BA18"")"),0)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IFERROR(__xludf.DUMMYFUNCTION("IMPORTRANGE(""https://docs.google.com/spreadsheets/d/1eHaY18a8A9IcSdp1K8H6x8fbOy06t2VsZHhMHf-1x7Y/edit?usp=sharing"",""แผน!BG18"")"),0)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IFERROR(__xludf.DUMMYFUNCTION("IMPORTRANGE(""https://docs.google.com/spreadsheets/d/1eHaY18a8A9IcSdp1K8H6x8fbOy06t2VsZHhMHf-1x7Y/edit?usp=sharing"",""แผน!BB18"")"),0)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IFERROR(__xludf.DUMMYFUNCTION("IMPORTRANGE(""https://docs.google.com/spreadsheets/d/1eHaY18a8A9IcSdp1K8H6x8fbOy06t2VsZHhMHf-1x7Y/edit?usp=sharing"",""แผน!BC18"")"),0)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IFERROR(__xludf.DUMMYFUNCTION("IMPORTRANGE(""https://docs.google.com/spreadsheets/d/1eHaY18a8A9IcSdp1K8H6x8fbOy06t2VsZHhMHf-1x7Y/edit?usp=sharing"",""แผน!BD18"")"),0)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IFERROR(__xludf.DUMMYFUNCTION("IMPORTRANGE(""https://docs.google.com/spreadsheets/d/1eHaY18a8A9IcSdp1K8H6x8fbOy06t2VsZHhMHf-1x7Y/edit?usp=sharing"",""แผน!BE18"")"),0)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IFERROR(__xludf.DUMMYFUNCTION("IMPORTRANGE(""https://docs.google.com/spreadsheets/d/1eHaY18a8A9IcSdp1K8H6x8fbOy06t2VsZHhMHf-1x7Y/edit?usp=sharing"",""แผน!BH18"")"),0)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24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53440</v>
      </c>
      <c r="R267" s="583">
        <f t="shared" ca="1" si="165"/>
        <v>53440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53440</v>
      </c>
      <c r="R269" s="592">
        <f t="shared" ca="1" si="169"/>
        <v>53440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53440</v>
      </c>
      <c r="R270" s="592">
        <f t="shared" ca="1" si="171"/>
        <v>53440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IFERROR(__xludf.DUMMYFUNCTION("IMPORTRANGE(""https://docs.google.com/spreadsheets/d/1-uDff_7J0KD5mKrp0Vvzr7lt3OU09vwQwhkpOPPYv2Y/edit?usp=sharing"",""งบพรบ!DE18"")"),0)</f>
        <v>0</v>
      </c>
      <c r="M272" s="592">
        <f ca="1">IFERROR(__xludf.DUMMYFUNCTION("IMPORTRANGE(""https://docs.google.com/spreadsheets/d/1-uDff_7J0KD5mKrp0Vvzr7lt3OU09vwQwhkpOPPYv2Y/edit?usp=sharing"",""งบพรบ!DJ18"")"),5000)</f>
        <v>5000</v>
      </c>
      <c r="N272" s="592">
        <f ca="1">IFERROR(__xludf.DUMMYFUNCTION("IMPORTRANGE(""https://docs.google.com/spreadsheets/d/1-uDff_7J0KD5mKrp0Vvzr7lt3OU09vwQwhkpOPPYv2Y/edit?usp=sharing"",""งบพรบ!DL18"")"),0)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IFERROR(__xludf.DUMMYFUNCTION("IMPORTRANGE(""https://docs.google.com/spreadsheets/d/1ItG2mGa2ceCfYo0BwxsXqNm01IGEUdYcSSLTEv9YCik/edit?usp=sharing"",""เบิกจ่ายกองทุน!AJ18"")"),53440)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IFERROR(__xludf.DUMMYFUNCTION("IMPORTRANGE(""https://docs.google.com/spreadsheets/d/1ItG2mGa2ceCfYo0BwxsXqNm01IGEUdYcSSLTEv9YCik/edit?usp=sharing"",""เบิกจ่ายกองทุน!AK18"")"),53440)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IFERROR(__xludf.DUMMYFUNCTION("IMPORTRANGE(""https://docs.google.com/spreadsheets/d/1ItG2mGa2ceCfYo0BwxsXqNm01IGEUdYcSSLTEv9YCik/edit?usp=sharing"",""เบิกจ่ายกองทุน!AL18"")"),0)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IFERROR(__xludf.DUMMYFUNCTION("IMPORTRANGE(""https://docs.google.com/spreadsheets/d/1-uDff_7J0KD5mKrp0Vvzr7lt3OU09vwQwhkpOPPYv2Y/edit?usp=sharing"",""งบพรบ!DH18"")"),0)</f>
        <v>0</v>
      </c>
      <c r="M275" s="592">
        <f ca="1">IFERROR(__xludf.DUMMYFUNCTION("IMPORTRANGE(""https://docs.google.com/spreadsheets/d/1-uDff_7J0KD5mKrp0Vvzr7lt3OU09vwQwhkpOPPYv2Y/edit?usp=sharing"",""งบพรบ!DK18"")"),0)</f>
        <v>0</v>
      </c>
      <c r="N275" s="592">
        <f ca="1">IFERROR(__xludf.DUMMYFUNCTION("IMPORTRANGE(""https://docs.google.com/spreadsheets/d/1-uDff_7J0KD5mKrp0Vvzr7lt3OU09vwQwhkpOPPYv2Y/edit?usp=sharing"",""งบพรบ!DM18"")"),0)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IFERROR(__xludf.DUMMYFUNCTION("IMPORTRANGE(""https://docs.google.com/spreadsheets/d/1eHaY18a8A9IcSdp1K8H6x8fbOy06t2VsZHhMHf-1x7Y/edit?usp=sharing"",""แผน!EC18"")"),24)</f>
        <v>24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50</v>
      </c>
      <c r="J281" s="619">
        <f t="shared" si="174"/>
        <v>0</v>
      </c>
      <c r="K281" s="620">
        <f t="shared" ref="K281:K282" ca="1" si="175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500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193220</v>
      </c>
      <c r="M283" s="515">
        <f t="shared" ca="1" si="177"/>
        <v>193220</v>
      </c>
      <c r="N283" s="515">
        <f t="shared" ca="1" si="177"/>
        <v>160216</v>
      </c>
      <c r="O283" s="515">
        <f t="shared" ref="O283:O291" ca="1" si="178">IF(L283&gt;0,N283*100/L283,0)</f>
        <v>82.918952489390335</v>
      </c>
      <c r="P283" s="515">
        <f t="shared" ref="P283:P291" ca="1" si="179">IF(M283&gt;0,N283*100/M283,0)</f>
        <v>82.918952489390335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193220</v>
      </c>
      <c r="M285" s="230">
        <f t="shared" ca="1" si="183"/>
        <v>193220</v>
      </c>
      <c r="N285" s="230">
        <f t="shared" ca="1" si="183"/>
        <v>160216</v>
      </c>
      <c r="O285" s="230">
        <f t="shared" ca="1" si="178"/>
        <v>82.918952489390335</v>
      </c>
      <c r="P285" s="230">
        <f t="shared" ca="1" si="179"/>
        <v>82.918952489390335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193220</v>
      </c>
      <c r="M286" s="230">
        <f t="shared" ca="1" si="185"/>
        <v>193220</v>
      </c>
      <c r="N286" s="230">
        <f t="shared" ca="1" si="185"/>
        <v>160216</v>
      </c>
      <c r="O286" s="230">
        <f t="shared" ca="1" si="178"/>
        <v>82.918952489390335</v>
      </c>
      <c r="P286" s="230">
        <f t="shared" ca="1" si="179"/>
        <v>82.918952489390335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IFERROR(__xludf.DUMMYFUNCTION("IMPORTRANGE(""https://docs.google.com/spreadsheets/d/1-uDff_7J0KD5mKrp0Vvzr7lt3OU09vwQwhkpOPPYv2Y/edit?usp=sharing"",""งบพรบ!DO18"")"),193220)</f>
        <v>193220</v>
      </c>
      <c r="M288" s="230">
        <f ca="1">IFERROR(__xludf.DUMMYFUNCTION("IMPORTRANGE(""https://docs.google.com/spreadsheets/d/1-uDff_7J0KD5mKrp0Vvzr7lt3OU09vwQwhkpOPPYv2Y/edit?usp=sharing"",""งบพรบ!DT18"")"),193220)</f>
        <v>193220</v>
      </c>
      <c r="N288" s="230">
        <f ca="1">IFERROR(__xludf.DUMMYFUNCTION("IMPORTRANGE(""https://docs.google.com/spreadsheets/d/1-uDff_7J0KD5mKrp0Vvzr7lt3OU09vwQwhkpOPPYv2Y/edit?usp=sharing"",""งบพรบ!DV18"")"),160216)</f>
        <v>160216</v>
      </c>
      <c r="O288" s="230">
        <f t="shared" ca="1" si="178"/>
        <v>82.918952489390335</v>
      </c>
      <c r="P288" s="230">
        <f t="shared" ca="1" si="179"/>
        <v>82.918952489390335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IFERROR(__xludf.DUMMYFUNCTION("IMPORTRANGE(""https://docs.google.com/spreadsheets/d/1-uDff_7J0KD5mKrp0Vvzr7lt3OU09vwQwhkpOPPYv2Y/edit?usp=sharing"",""งบพรบ!DR18"")"),0)</f>
        <v>0</v>
      </c>
      <c r="M291" s="230">
        <f ca="1">IFERROR(__xludf.DUMMYFUNCTION("IMPORTRANGE(""https://docs.google.com/spreadsheets/d/1-uDff_7J0KD5mKrp0Vvzr7lt3OU09vwQwhkpOPPYv2Y/edit?usp=sharing"",""งบพรบ!DU18"")"),0)</f>
        <v>0</v>
      </c>
      <c r="N291" s="230">
        <f ca="1">IFERROR(__xludf.DUMMYFUNCTION("IMPORTRANGE(""https://docs.google.com/spreadsheets/d/1-uDff_7J0KD5mKrp0Vvzr7lt3OU09vwQwhkpOPPYv2Y/edit?usp=sharing"",""งบพรบ!DW18"")"),0)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IFERROR(__xludf.DUMMYFUNCTION("IMPORTRANGE(""https://docs.google.com/spreadsheets/d/1eHaY18a8A9IcSdp1K8H6x8fbOy06t2VsZHhMHf-1x7Y/edit?usp=sharing"",""แผน!EE18"")"),500)</f>
        <v>500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IFERROR(__xludf.DUMMYFUNCTION("IMPORTRANGE(""https://docs.google.com/spreadsheets/d/1eHaY18a8A9IcSdp1K8H6x8fbOy06t2VsZHhMHf-1x7Y/edit?usp=sharing"",""แผน!ED18"")"),50)</f>
        <v>50</v>
      </c>
      <c r="J294" s="340">
        <f>J297</f>
        <v>0</v>
      </c>
      <c r="K294" s="518">
        <f t="shared" ca="1" si="189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IFERROR(__xludf.DUMMYFUNCTION("IMPORTRANGE(""https://docs.google.com/spreadsheets/d/1eHaY18a8A9IcSdp1K8H6x8fbOy06t2VsZHhMHf-1x7Y/edit?usp=sharing"",""แผน!ED18"")"),50)</f>
        <v>50</v>
      </c>
      <c r="J296" s="520">
        <v>0</v>
      </c>
      <c r="K296" s="521">
        <f t="shared" ref="K296:K297" ca="1" si="190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IFERROR(__xludf.DUMMYFUNCTION("IMPORTRANGE(""https://docs.google.com/spreadsheets/d/1eHaY18a8A9IcSdp1K8H6x8fbOy06t2VsZHhMHf-1x7Y/edit?usp=sharing"",""แผน!ED18"")"),50)</f>
        <v>50</v>
      </c>
      <c r="J297" s="520">
        <v>0</v>
      </c>
      <c r="K297" s="521">
        <f t="shared" ca="1" si="190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25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152100</v>
      </c>
      <c r="M304" s="515">
        <f t="shared" ca="1" si="192"/>
        <v>152100</v>
      </c>
      <c r="N304" s="515">
        <f t="shared" ca="1" si="192"/>
        <v>81110</v>
      </c>
      <c r="O304" s="515">
        <f t="shared" ref="O304:O312" ca="1" si="193">IF(L304&gt;0,N304*100/L304,0)</f>
        <v>53.326758711374097</v>
      </c>
      <c r="P304" s="515">
        <f t="shared" ref="P304:P312" ca="1" si="194">IF(M304&gt;0,N304*100/M304,0)</f>
        <v>53.326758711374097</v>
      </c>
      <c r="Q304" s="515">
        <f t="shared" ref="Q304:S304" ca="1" si="195">Q305+Q306</f>
        <v>166057.24</v>
      </c>
      <c r="R304" s="515">
        <f t="shared" ca="1" si="195"/>
        <v>166057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152100</v>
      </c>
      <c r="M306" s="230">
        <f t="shared" ca="1" si="198"/>
        <v>152100</v>
      </c>
      <c r="N306" s="230">
        <f t="shared" ca="1" si="198"/>
        <v>81110</v>
      </c>
      <c r="O306" s="230">
        <f t="shared" ca="1" si="193"/>
        <v>53.326758711374097</v>
      </c>
      <c r="P306" s="230">
        <f t="shared" ca="1" si="194"/>
        <v>53.326758711374097</v>
      </c>
      <c r="Q306" s="230">
        <f t="shared" ca="1" si="199"/>
        <v>166057.24</v>
      </c>
      <c r="R306" s="230">
        <f t="shared" ca="1" si="199"/>
        <v>166057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152100</v>
      </c>
      <c r="M307" s="230">
        <f t="shared" ca="1" si="200"/>
        <v>152100</v>
      </c>
      <c r="N307" s="230">
        <f t="shared" ca="1" si="200"/>
        <v>81110</v>
      </c>
      <c r="O307" s="230">
        <f t="shared" ca="1" si="193"/>
        <v>53.326758711374097</v>
      </c>
      <c r="P307" s="230">
        <f t="shared" ca="1" si="194"/>
        <v>53.326758711374097</v>
      </c>
      <c r="Q307" s="230">
        <f t="shared" ref="Q307:S307" ca="1" si="201">Q308+Q309</f>
        <v>166057.24</v>
      </c>
      <c r="R307" s="230">
        <f t="shared" ca="1" si="201"/>
        <v>166057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IFERROR(__xludf.DUMMYFUNCTION("IMPORTRANGE(""https://docs.google.com/spreadsheets/d/1-uDff_7J0KD5mKrp0Vvzr7lt3OU09vwQwhkpOPPYv2Y/edit?usp=sharing"",""งบพรบ!DY18"")"),152100)</f>
        <v>152100</v>
      </c>
      <c r="M309" s="230">
        <f ca="1">IFERROR(__xludf.DUMMYFUNCTION("IMPORTRANGE(""https://docs.google.com/spreadsheets/d/1-uDff_7J0KD5mKrp0Vvzr7lt3OU09vwQwhkpOPPYv2Y/edit?usp=sharing"",""งบพรบ!ED18"")"),152100)</f>
        <v>152100</v>
      </c>
      <c r="N309" s="230">
        <f ca="1">IFERROR(__xludf.DUMMYFUNCTION("IMPORTRANGE(""https://docs.google.com/spreadsheets/d/1-uDff_7J0KD5mKrp0Vvzr7lt3OU09vwQwhkpOPPYv2Y/edit?usp=sharing"",""งบพรบ!EF18"")"),81110)</f>
        <v>81110</v>
      </c>
      <c r="O309" s="230">
        <f t="shared" ca="1" si="193"/>
        <v>53.326758711374097</v>
      </c>
      <c r="P309" s="230">
        <f t="shared" ca="1" si="194"/>
        <v>53.326758711374097</v>
      </c>
      <c r="Q309" s="230">
        <f ca="1">IFERROR(__xludf.DUMMYFUNCTION("IMPORTRANGE(""https://docs.google.com/spreadsheets/d/1ItG2mGa2ceCfYo0BwxsXqNm01IGEUdYcSSLTEv9YCik/edit?usp=sharing"",""เบิกจ่ายกองทุน!AP18"")"),166057.24)</f>
        <v>166057.24</v>
      </c>
      <c r="R309" s="230">
        <f ca="1">IFERROR(__xludf.DUMMYFUNCTION("IMPORTRANGE(""https://docs.google.com/spreadsheets/d/1ItG2mGa2ceCfYo0BwxsXqNm01IGEUdYcSSLTEv9YCik/edit?usp=sharing"",""เบิกจ่ายกองทุน!AQ18"")"),166057)</f>
        <v>166057</v>
      </c>
      <c r="S309" s="230">
        <f ca="1">IFERROR(__xludf.DUMMYFUNCTION("IMPORTRANGE(""https://docs.google.com/spreadsheets/d/1ItG2mGa2ceCfYo0BwxsXqNm01IGEUdYcSSLTEv9YCik/edit?usp=sharing"",""เบิกจ่ายกองทุน!AR18"")"),0)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IFERROR(__xludf.DUMMYFUNCTION("IMPORTRANGE(""https://docs.google.com/spreadsheets/d/1-uDff_7J0KD5mKrp0Vvzr7lt3OU09vwQwhkpOPPYv2Y/edit?usp=sharing"",""งบพรบ!EB18"")"),0)</f>
        <v>0</v>
      </c>
      <c r="M312" s="230">
        <f ca="1">IFERROR(__xludf.DUMMYFUNCTION("IMPORTRANGE(""https://docs.google.com/spreadsheets/d/1-uDff_7J0KD5mKrp0Vvzr7lt3OU09vwQwhkpOPPYv2Y/edit?usp=sharing"",""งบพรบ!EE18"")"),0)</f>
        <v>0</v>
      </c>
      <c r="N312" s="230">
        <f ca="1">IFERROR(__xludf.DUMMYFUNCTION("IMPORTRANGE(""https://docs.google.com/spreadsheets/d/1-uDff_7J0KD5mKrp0Vvzr7lt3OU09vwQwhkpOPPYv2Y/edit?usp=sharing"",""งบพรบ!EG18"")"),0)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IFERROR(__xludf.DUMMYFUNCTION("IMPORTRANGE(""https://docs.google.com/spreadsheets/d/1eHaY18a8A9IcSdp1K8H6x8fbOy06t2VsZHhMHf-1x7Y/edit?usp=sharing"",""แผน!EF18"")"),25)</f>
        <v>25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IFERROR(__xludf.DUMMYFUNCTION("IMPORTRANGE(""https://docs.google.com/spreadsheets/d/1-uDff_7J0KD5mKrp0Vvzr7lt3OU09vwQwhkpOPPYv2Y/edit?usp=sharing"",""งบพรบ!EI18"")"),0)</f>
        <v>0</v>
      </c>
      <c r="M326" s="230">
        <f ca="1">IFERROR(__xludf.DUMMYFUNCTION("IMPORTRANGE(""https://docs.google.com/spreadsheets/d/1-uDff_7J0KD5mKrp0Vvzr7lt3OU09vwQwhkpOPPYv2Y/edit?usp=sharing"",""งบพรบ!EN18"")"),0)</f>
        <v>0</v>
      </c>
      <c r="N326" s="230">
        <f ca="1">IFERROR(__xludf.DUMMYFUNCTION("IMPORTRANGE(""https://docs.google.com/spreadsheets/d/1-uDff_7J0KD5mKrp0Vvzr7lt3OU09vwQwhkpOPPYv2Y/edit?usp=sharing"",""งบพรบ!EP18"")"),0)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IFERROR(__xludf.DUMMYFUNCTION("IMPORTRANGE(""https://docs.google.com/spreadsheets/d/1-uDff_7J0KD5mKrp0Vvzr7lt3OU09vwQwhkpOPPYv2Y/edit?usp=sharing"",""งบพรบ!EL18"")"),0)</f>
        <v>0</v>
      </c>
      <c r="M329" s="230">
        <f ca="1">IFERROR(__xludf.DUMMYFUNCTION("IMPORTRANGE(""https://docs.google.com/spreadsheets/d/1-uDff_7J0KD5mKrp0Vvzr7lt3OU09vwQwhkpOPPYv2Y/edit?usp=sharing"",""งบพรบ!EO18"")"),0)</f>
        <v>0</v>
      </c>
      <c r="N329" s="230">
        <f ca="1">IFERROR(__xludf.DUMMYFUNCTION("IMPORTRANGE(""https://docs.google.com/spreadsheets/d/1-uDff_7J0KD5mKrp0Vvzr7lt3OU09vwQwhkpOPPYv2Y/edit?usp=sharing"",""งบพรบ!EQ18"")"),0)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IFERROR(__xludf.DUMMYFUNCTION("IMPORTRANGE(""https://docs.google.com/spreadsheets/d/1eHaY18a8A9IcSdp1K8H6x8fbOy06t2VsZHhMHf-1x7Y/edit?usp=sharing"",""แผน!EJ18"")"),0)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2340</v>
      </c>
      <c r="J333" s="635">
        <f ca="1">J345+J348+J349+J350+J354</f>
        <v>2087</v>
      </c>
      <c r="K333" s="636">
        <f ca="1">IF(I333&gt;0,J333*100/I333,0)</f>
        <v>89.188034188034194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113000</v>
      </c>
      <c r="M334" s="515">
        <f t="shared" ca="1" si="217"/>
        <v>118000</v>
      </c>
      <c r="N334" s="515">
        <f t="shared" ca="1" si="217"/>
        <v>48034</v>
      </c>
      <c r="O334" s="515">
        <f t="shared" ref="O334:O342" ca="1" si="218">IF(L334&gt;0,N334*100/L334,0)</f>
        <v>42.507964601769913</v>
      </c>
      <c r="P334" s="515">
        <f t="shared" ref="P334:P342" ca="1" si="219">IF(M334&gt;0,N334*100/M334,0)</f>
        <v>40.706779661016952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113000</v>
      </c>
      <c r="M336" s="230">
        <f t="shared" ca="1" si="223"/>
        <v>118000</v>
      </c>
      <c r="N336" s="230">
        <f t="shared" ca="1" si="223"/>
        <v>48034</v>
      </c>
      <c r="O336" s="230">
        <f t="shared" ca="1" si="218"/>
        <v>42.507964601769913</v>
      </c>
      <c r="P336" s="230">
        <f t="shared" ca="1" si="219"/>
        <v>40.706779661016952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113000</v>
      </c>
      <c r="M337" s="230">
        <f t="shared" ca="1" si="225"/>
        <v>118000</v>
      </c>
      <c r="N337" s="230">
        <f t="shared" ca="1" si="225"/>
        <v>48034</v>
      </c>
      <c r="O337" s="230">
        <f t="shared" ca="1" si="218"/>
        <v>42.507964601769913</v>
      </c>
      <c r="P337" s="230">
        <f t="shared" ca="1" si="219"/>
        <v>40.706779661016952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IFERROR(__xludf.DUMMYFUNCTION("IMPORTRANGE(""https://docs.google.com/spreadsheets/d/1-uDff_7J0KD5mKrp0Vvzr7lt3OU09vwQwhkpOPPYv2Y/edit?usp=sharing"",""งบพรบ!ES18"")"),113000)</f>
        <v>113000</v>
      </c>
      <c r="M339" s="230">
        <f ca="1">IFERROR(__xludf.DUMMYFUNCTION("IMPORTRANGE(""https://docs.google.com/spreadsheets/d/1-uDff_7J0KD5mKrp0Vvzr7lt3OU09vwQwhkpOPPYv2Y/edit?usp=sharing"",""งบพรบ!EX18"")"),118000)</f>
        <v>118000</v>
      </c>
      <c r="N339" s="230">
        <f ca="1">IFERROR(__xludf.DUMMYFUNCTION("IMPORTRANGE(""https://docs.google.com/spreadsheets/d/1-uDff_7J0KD5mKrp0Vvzr7lt3OU09vwQwhkpOPPYv2Y/edit?usp=sharing"",""งบพรบ!EZ18"")"),48034)</f>
        <v>48034</v>
      </c>
      <c r="O339" s="230">
        <f t="shared" ca="1" si="218"/>
        <v>42.507964601769913</v>
      </c>
      <c r="P339" s="230">
        <f t="shared" ca="1" si="219"/>
        <v>40.706779661016952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IFERROR(__xludf.DUMMYFUNCTION("IMPORTRANGE(""https://docs.google.com/spreadsheets/d/1-uDff_7J0KD5mKrp0Vvzr7lt3OU09vwQwhkpOPPYv2Y/edit?usp=sharing"",""งบพรบ!EV18"")"),0)</f>
        <v>0</v>
      </c>
      <c r="M342" s="230">
        <f ca="1">IFERROR(__xludf.DUMMYFUNCTION("IMPORTRANGE(""https://docs.google.com/spreadsheets/d/1-uDff_7J0KD5mKrp0Vvzr7lt3OU09vwQwhkpOPPYv2Y/edit?usp=sharing"",""งบพรบ!EY18"")"),0)</f>
        <v>0</v>
      </c>
      <c r="N342" s="230">
        <f ca="1">IFERROR(__xludf.DUMMYFUNCTION("IMPORTRANGE(""https://docs.google.com/spreadsheets/d/1-uDff_7J0KD5mKrp0Vvzr7lt3OU09vwQwhkpOPPYv2Y/edit?usp=sharing"",""งบพรบ!FA18"")"),0)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1097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IFERROR(__xludf.DUMMYFUNCTION("IMPORTRANGE(""https://docs.google.com/spreadsheets/d/1eHaY18a8A9IcSdp1K8H6x8fbOy06t2VsZHhMHf-1x7Y/edit?usp=sharing"",""แผน!EK18"")"),2340)</f>
        <v>2340</v>
      </c>
      <c r="J345" s="189">
        <f ca="1">IFERROR(__xludf.DUMMYFUNCTION("IMPORTRANGE(""https://docs.google.com/spreadsheets/d/1awYsYK3VOup2i3Pq_Yjnu8DRu_mYwSBnCR2QPthd0rU/edit?usp=sharing"",""ศูนย์ยกเว้นโฉนด!D18"")"),1096)</f>
        <v>1096</v>
      </c>
      <c r="K345" s="230">
        <f ca="1">IF(I345&gt;0,J345*100/I345,0)</f>
        <v>46.837606837606835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IFERROR(__xludf.DUMMYFUNCTION("IMPORTRANGE(""https://docs.google.com/spreadsheets/d/1eHaY18a8A9IcSdp1K8H6x8fbOy06t2VsZHhMHf-1x7Y/edit?usp=sharing"",""แผน!EL18"")"),5)</f>
        <v>5</v>
      </c>
      <c r="J347" s="189">
        <f ca="1">IFERROR(__xludf.DUMMYFUNCTION("IMPORTRANGE(""https://docs.google.com/spreadsheets/d/1awYsYK3VOup2i3Pq_Yjnu8DRu_mYwSBnCR2QPthd0rU/edit?usp=sharing"",""ศูนย์รวม!E18"")"),1)</f>
        <v>1</v>
      </c>
      <c r="K347" s="230">
        <f ca="1">IF(I347&gt;0,J347*100/I347,0)</f>
        <v>20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IFERROR(__xludf.DUMMYFUNCTION("IMPORTRANGE(""https://docs.google.com/spreadsheets/d/1awYsYK3VOup2i3Pq_Yjnu8DRu_mYwSBnCR2QPthd0rU/edit?usp=sharing"",""ศูนย์ยกเว้นโฉนด!F18"")"),0)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IFERROR(__xludf.DUMMYFUNCTION("IMPORTRANGE(""https://docs.google.com/spreadsheets/d/1awYsYK3VOup2i3Pq_Yjnu8DRu_mYwSBnCR2QPthd0rU/edit?usp=sharing"",""ศูนย์ยกเว้นโฉนด!G18"")"),1)</f>
        <v>1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IFERROR(__xludf.DUMMYFUNCTION("IMPORTRANGE(""https://docs.google.com/spreadsheets/d/1awYsYK3VOup2i3Pq_Yjnu8DRu_mYwSBnCR2QPthd0rU/edit?usp=sharing"",""ศูนย์ยกเว้นโฉนด!H18"")"),0)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2363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IFERROR(__xludf.DUMMYFUNCTION("IMPORTRANGE(""https://docs.google.com/spreadsheets/d/1awYsYK3VOup2i3Pq_Yjnu8DRu_mYwSBnCR2QPthd0rU/edit?usp=sharing"",""โฉนดM3!G18"")"),1373)</f>
        <v>1373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IFERROR(__xludf.DUMMYFUNCTION("IMPORTRANGE(""https://docs.google.com/spreadsheets/d/1awYsYK3VOup2i3Pq_Yjnu8DRu_mYwSBnCR2QPthd0rU/edit?usp=sharing"",""โฉนดM3!H18"")"),990)</f>
        <v>990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536435</v>
      </c>
      <c r="M357" s="515">
        <f t="shared" ca="1" si="229"/>
        <v>543755</v>
      </c>
      <c r="N357" s="515">
        <f t="shared" ca="1" si="229"/>
        <v>268009</v>
      </c>
      <c r="O357" s="515">
        <f t="shared" ref="O357:O365" ca="1" si="230">IF(L357&gt;0,N357*100/L357,0)</f>
        <v>49.961132290025816</v>
      </c>
      <c r="P357" s="515">
        <f t="shared" ref="P357:P365" ca="1" si="231">IF(M357&gt;0,N357*100/M357,0)</f>
        <v>49.288558266130885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536435</v>
      </c>
      <c r="M359" s="230">
        <f t="shared" ca="1" si="235"/>
        <v>543755</v>
      </c>
      <c r="N359" s="230">
        <f t="shared" ca="1" si="235"/>
        <v>268009</v>
      </c>
      <c r="O359" s="230">
        <f t="shared" ca="1" si="230"/>
        <v>49.961132290025816</v>
      </c>
      <c r="P359" s="230">
        <f t="shared" ca="1" si="231"/>
        <v>49.288558266130885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536435</v>
      </c>
      <c r="M360" s="230">
        <f t="shared" ca="1" si="237"/>
        <v>543755</v>
      </c>
      <c r="N360" s="230">
        <f t="shared" ca="1" si="237"/>
        <v>268009</v>
      </c>
      <c r="O360" s="230">
        <f t="shared" ca="1" si="230"/>
        <v>49.961132290025816</v>
      </c>
      <c r="P360" s="230">
        <f t="shared" ca="1" si="231"/>
        <v>49.288558266130885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IFERROR(__xludf.DUMMYFUNCTION("IMPORTRANGE(""https://docs.google.com/spreadsheets/d/1-uDff_7J0KD5mKrp0Vvzr7lt3OU09vwQwhkpOPPYv2Y/edit?usp=sharing"",""งบพรบ!FC18"")"),536435)</f>
        <v>536435</v>
      </c>
      <c r="M362" s="230">
        <f ca="1">IFERROR(__xludf.DUMMYFUNCTION("IMPORTRANGE(""https://docs.google.com/spreadsheets/d/1-uDff_7J0KD5mKrp0Vvzr7lt3OU09vwQwhkpOPPYv2Y/edit?usp=sharing"",""งบพรบ!FH18"")"),543755)</f>
        <v>543755</v>
      </c>
      <c r="N362" s="230">
        <f ca="1">IFERROR(__xludf.DUMMYFUNCTION("IMPORTRANGE(""https://docs.google.com/spreadsheets/d/1-uDff_7J0KD5mKrp0Vvzr7lt3OU09vwQwhkpOPPYv2Y/edit?usp=sharing"",""งบพรบ!FJ18"")"),268009)</f>
        <v>268009</v>
      </c>
      <c r="O362" s="230">
        <f t="shared" ca="1" si="230"/>
        <v>49.961132290025816</v>
      </c>
      <c r="P362" s="230">
        <f t="shared" ca="1" si="231"/>
        <v>49.288558266130885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IFERROR(__xludf.DUMMYFUNCTION("IMPORTRANGE(""https://docs.google.com/spreadsheets/d/1-uDff_7J0KD5mKrp0Vvzr7lt3OU09vwQwhkpOPPYv2Y/edit?usp=sharing"",""งบพรบ!FF18"")"),0)</f>
        <v>0</v>
      </c>
      <c r="M365" s="230">
        <f ca="1">IFERROR(__xludf.DUMMYFUNCTION("IMPORTRANGE(""https://docs.google.com/spreadsheets/d/1-uDff_7J0KD5mKrp0Vvzr7lt3OU09vwQwhkpOPPYv2Y/edit?usp=sharing"",""งบพรบ!FI18"")"),0)</f>
        <v>0</v>
      </c>
      <c r="N365" s="230">
        <f ca="1">IFERROR(__xludf.DUMMYFUNCTION("IMPORTRANGE(""https://docs.google.com/spreadsheets/d/1-uDff_7J0KD5mKrp0Vvzr7lt3OU09vwQwhkpOPPYv2Y/edit?usp=sharing"",""งบพรบ!FK18"")"),0)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128</v>
      </c>
      <c r="J366" s="313">
        <f t="shared" ca="1" si="241"/>
        <v>252</v>
      </c>
      <c r="K366" s="314">
        <f ca="1">IF(I366&gt;0,J366*100/I366,0)</f>
        <v>196.875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IFERROR(__xludf.DUMMYFUNCTION("IMPORTRANGE(""https://docs.google.com/spreadsheets/d/1tdoBKaGub7dwA3U6UFTqxio9LNnvDCQjHKmttSEBsFQ/edit?usp=sharing"",""จัดที่ดิน!AB18"")"),119)</f>
        <v>119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IFERROR(__xludf.DUMMYFUNCTION("IMPORTRANGE(""https://docs.google.com/spreadsheets/d/1eHaY18a8A9IcSdp1K8H6x8fbOy06t2VsZHhMHf-1x7Y/edit?usp=sharing"",""แผน!EW18"")"),1490)</f>
        <v>1490</v>
      </c>
      <c r="J369" s="646">
        <f ca="1">IFERROR(__xludf.DUMMYFUNCTION("IMPORTRANGE(""https://docs.google.com/spreadsheets/d/1tdoBKaGub7dwA3U6UFTqxio9LNnvDCQjHKmttSEBsFQ/edit?usp=sharing"",""จัดที่ดิน!AC18"")"),1696.42)</f>
        <v>1696.42</v>
      </c>
      <c r="K369" s="230">
        <f t="shared" ca="1" si="242"/>
        <v>113.85369127516779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IFERROR(__xludf.DUMMYFUNCTION("IMPORTRANGE(""https://docs.google.com/spreadsheets/d/1eHaY18a8A9IcSdp1K8H6x8fbOy06t2VsZHhMHf-1x7Y/edit?usp=sharing"",""แผน!EX18"")"),198)</f>
        <v>198</v>
      </c>
      <c r="J370" s="189">
        <f ca="1">IFERROR(__xludf.DUMMYFUNCTION("IMPORTRANGE(""https://docs.google.com/spreadsheets/d/1tdoBKaGub7dwA3U6UFTqxio9LNnvDCQjHKmttSEBsFQ/edit?usp=sharing"",""จัดที่ดิน!AD18"")"),254)</f>
        <v>254</v>
      </c>
      <c r="K370" s="230">
        <f t="shared" ca="1" si="242"/>
        <v>128.28282828282829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IFERROR(__xludf.DUMMYFUNCTION("IMPORTRANGE(""https://docs.google.com/spreadsheets/d/1tdoBKaGub7dwA3U6UFTqxio9LNnvDCQjHKmttSEBsFQ/edit?usp=sharing"",""จัดที่ดิน!AE18"")"),4432.47)</f>
        <v>4432.47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IFERROR(__xludf.DUMMYFUNCTION("IMPORTRANGE(""https://docs.google.com/spreadsheets/d/1eHaY18a8A9IcSdp1K8H6x8fbOy06t2VsZHhMHf-1x7Y/edit?usp=sharing"",""แผน!EY18"")"),128)</f>
        <v>128</v>
      </c>
      <c r="J372" s="189">
        <f ca="1">IFERROR(__xludf.DUMMYFUNCTION("IMPORTRANGE(""https://docs.google.com/spreadsheets/d/1tdoBKaGub7dwA3U6UFTqxio9LNnvDCQjHKmttSEBsFQ/edit?usp=sharing"",""จัดที่ดิน!AF18"")"),252)</f>
        <v>252</v>
      </c>
      <c r="K372" s="230">
        <f t="shared" ca="1" si="242"/>
        <v>196.875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IFERROR(__xludf.DUMMYFUNCTION("IMPORTRANGE(""https://docs.google.com/spreadsheets/d/1tdoBKaGub7dwA3U6UFTqxio9LNnvDCQjHKmttSEBsFQ/edit?usp=sharing"",""จัดที่ดิน!AG18"")"),4407.51)</f>
        <v>4407.51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748">
        <f t="shared" ref="I375:J375" ca="1" si="243">I387+I389</f>
        <v>2000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749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125000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749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749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125000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750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125000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750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750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IFERROR(__xludf.DUMMYFUNCTION("IMPORTRANGE(""https://docs.google.com/spreadsheets/d/1ItG2mGa2ceCfYo0BwxsXqNm01IGEUdYcSSLTEv9YCik/edit?usp=sharing"",""เบิกจ่ายกองทุน!AY18"")"),125000)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IFERROR(__xludf.DUMMYFUNCTION("IMPORTRANGE(""https://docs.google.com/spreadsheets/d/1ItG2mGa2ceCfYo0BwxsXqNm01IGEUdYcSSLTEv9YCik/edit?usp=sharing"",""เบิกจ่ายกองทุน!AZ18"")"),0)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IFERROR(__xludf.DUMMYFUNCTION("IMPORTRANGE(""https://docs.google.com/spreadsheets/d/1ItG2mGa2ceCfYo0BwxsXqNm01IGEUdYcSSLTEv9YCik/edit?usp=sharing"",""เบิกจ่ายกองทุน!BA18"")"),0)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750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750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750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750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751">
        <v>0</v>
      </c>
      <c r="J386" s="189">
        <f ca="1">IFERROR(__xludf.DUMMYFUNCTION("IMPORTRANGE(""https://docs.google.com/spreadsheets/d/1w5rwWK1o49a35cNtocGL0gxDwhFSTZUQu90BiH9_zqM/edit?usp=sharing"",""RTK!H18"")"),0)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751">
        <f ca="1">IFERROR(__xludf.DUMMYFUNCTION("IMPORTRANGE(""https://docs.google.com/spreadsheets/d/1w5rwWK1o49a35cNtocGL0gxDwhFSTZUQu90BiH9_zqM/edit?usp=sharing"",""RTK!G18"")"),2000)</f>
        <v>2000</v>
      </c>
      <c r="J387" s="189">
        <f ca="1">IFERROR(__xludf.DUMMYFUNCTION("IMPORTRANGE(""https://docs.google.com/spreadsheets/d/1w5rwWK1o49a35cNtocGL0gxDwhFSTZUQu90BiH9_zqM/edit?usp=sharing"",""RTK!I18"")"),0)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752">
        <v>0</v>
      </c>
      <c r="J388" s="661">
        <f ca="1">IFERROR(__xludf.DUMMYFUNCTION("IMPORTRANGE(""https://docs.google.com/spreadsheets/d/1w5rwWK1o49a35cNtocGL0gxDwhFSTZUQu90BiH9_zqM/edit?usp=sharing"",""RTK!L18"")"),0)</f>
        <v>0</v>
      </c>
      <c r="K388" s="592">
        <f t="shared" si="256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752">
        <f ca="1">IFERROR(__xludf.DUMMYFUNCTION("IMPORTRANGE(""https://docs.google.com/spreadsheets/d/1w5rwWK1o49a35cNtocGL0gxDwhFSTZUQu90BiH9_zqM/edit?usp=sharing"",""RTK!K18"")"),0)</f>
        <v>0</v>
      </c>
      <c r="J389" s="661">
        <f ca="1">IFERROR(__xludf.DUMMYFUNCTION("IMPORTRANGE(""https://docs.google.com/spreadsheets/d/1w5rwWK1o49a35cNtocGL0gxDwhFSTZUQu90BiH9_zqM/edit?usp=sharing"",""RTK!M18"")"),0)</f>
        <v>0</v>
      </c>
      <c r="K389" s="592">
        <f t="shared" ca="1" si="256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753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754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IFERROR(__xludf.DUMMYFUNCTION("IMPORTRANGE(""https://docs.google.com/spreadsheets/d/1ItG2mGa2ceCfYo0BwxsXqNm01IGEUdYcSSLTEv9YCik/edit?usp=sharing"",""เบิกจ่ายกองทุน!BH18"")"),0)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IFERROR(__xludf.DUMMYFUNCTION("IMPORTRANGE(""https://docs.google.com/spreadsheets/d/1ItG2mGa2ceCfYo0BwxsXqNm01IGEUdYcSSLTEv9YCik/edit?usp=sharing"",""เบิกจ่ายกองทุน!BI18"")"),0)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IFERROR(__xludf.DUMMYFUNCTION("IMPORTRANGE(""https://docs.google.com/spreadsheets/d/1ItG2mGa2ceCfYo0BwxsXqNm01IGEUdYcSSLTEv9YCik/edit?usp=sharing"",""เบิกจ่ายกองทุน!BJ18"")"),0)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IFERROR(__xludf.DUMMYFUNCTION("IMPORTRANGE(""https://docs.google.com/spreadsheets/d/1eHaY18a8A9IcSdp1K8H6x8fbOy06t2VsZHhMHf-1x7Y/edit?usp=sharing"",""แผน!HJ18"")"),0)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IFERROR(__xludf.DUMMYFUNCTION("IMPORTRANGE(""https://docs.google.com/spreadsheets/d/1eHaY18a8A9IcSdp1K8H6x8fbOy06t2VsZHhMHf-1x7Y/edit?usp=sharing"",""แผน!HK18"")"),0)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IFERROR(__xludf.DUMMYFUNCTION("IMPORTRANGE(""https://docs.google.com/spreadsheets/d/1eHaY18a8A9IcSdp1K8H6x8fbOy06t2VsZHhMHf-1x7Y/edit?usp=sharing"",""แผน!HJ18"")"),0)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IFERROR(__xludf.DUMMYFUNCTION("IMPORTRANGE(""https://docs.google.com/spreadsheets/d/1eHaY18a8A9IcSdp1K8H6x8fbOy06t2VsZHhMHf-1x7Y/edit?usp=sharing"",""แผน!HK18"")"),0)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IFERROR(__xludf.DUMMYFUNCTION("IMPORTRANGE(""https://docs.google.com/spreadsheets/d/1eHaY18a8A9IcSdp1K8H6x8fbOy06t2VsZHhMHf-1x7Y/edit?usp=sharing"",""แผน!HJ18"")"),0)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IFERROR(__xludf.DUMMYFUNCTION("IMPORTRANGE(""https://docs.google.com/spreadsheets/d/1eHaY18a8A9IcSdp1K8H6x8fbOy06t2VsZHhMHf-1x7Y/edit?usp=sharing"",""แผน!HK18"")"),0)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IFERROR(__xludf.DUMMYFUNCTION("IMPORTRANGE(""https://docs.google.com/spreadsheets/d/1eHaY18a8A9IcSdp1K8H6x8fbOy06t2VsZHhMHf-1x7Y/edit?usp=sharing"",""แผน!HL18"")"),0)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IFERROR(__xludf.DUMMYFUNCTION("IMPORTRANGE(""https://docs.google.com/spreadsheets/d/1eHaY18a8A9IcSdp1K8H6x8fbOy06t2VsZHhMHf-1x7Y/edit?usp=sharing"",""แผน!HM18"")"),0)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IFERROR(__xludf.DUMMYFUNCTION("IMPORTRANGE(""https://docs.google.com/spreadsheets/d/1eHaY18a8A9IcSdp1K8H6x8fbOy06t2VsZHhMHf-1x7Y/edit?usp=sharing"",""แผน!HN18"")"),0)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IFERROR(__xludf.DUMMYFUNCTION("IMPORTRANGE(""https://docs.google.com/spreadsheets/d/1eHaY18a8A9IcSdp1K8H6x8fbOy06t2VsZHhMHf-1x7Y/edit?usp=sharing"",""แผน!HO18"")"),0)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IFERROR(__xludf.DUMMYFUNCTION("IMPORTRANGE(""https://docs.google.com/spreadsheets/d/1ItG2mGa2ceCfYo0BwxsXqNm01IGEUdYcSSLTEv9YCik/edit?usp=sharing"",""เบิกจ่ายกองทุน!X18"")"),0)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IFERROR(__xludf.DUMMYFUNCTION("IMPORTRANGE(""https://docs.google.com/spreadsheets/d/1ItG2mGa2ceCfYo0BwxsXqNm01IGEUdYcSSLTEv9YCik/edit?usp=sharing"",""เบิกจ่ายกองทุน!Y18"")"),0)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IFERROR(__xludf.DUMMYFUNCTION("IMPORTRANGE(""https://docs.google.com/spreadsheets/d/1ItG2mGa2ceCfYo0BwxsXqNm01IGEUdYcSSLTEv9YCik/edit?usp=sharing"",""เบิกจ่ายกองทุน!Z18"")"),0)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IFERROR(__xludf.DUMMYFUNCTION("IMPORTRANGE(""https://docs.google.com/spreadsheets/d/1eHaY18a8A9IcSdp1K8H6x8fbOy06t2VsZHhMHf-1x7Y/edit?usp=sharing"",""แผน!GX18"")"),0)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IFERROR(__xludf.DUMMYFUNCTION("IMPORTRANGE(""https://docs.google.com/spreadsheets/d/1eHaY18a8A9IcSdp1K8H6x8fbOy06t2VsZHhMHf-1x7Y/edit?usp=sharing"",""แผน!GY18"")"),0)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IFERROR(__xludf.DUMMYFUNCTION("IMPORTRANGE(""https://docs.google.com/spreadsheets/d/1eHaY18a8A9IcSdp1K8H6x8fbOy06t2VsZHhMHf-1x7Y/edit?usp=sharing"",""แผน!GZ18"")"),0)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IFERROR(__xludf.DUMMYFUNCTION("IMPORTRANGE(""https://docs.google.com/spreadsheets/d/1eHaY18a8A9IcSdp1K8H6x8fbOy06t2VsZHhMHf-1x7Y/edit?usp=sharing"",""แผน!HA18"")"),0)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IFERROR(__xludf.DUMMYFUNCTION("IMPORTRANGE(""https://docs.google.com/spreadsheets/d/1eHaY18a8A9IcSdp1K8H6x8fbOy06t2VsZHhMHf-1x7Y/edit?usp=sharing"",""แผน!HB18"")"),0)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IFERROR(__xludf.DUMMYFUNCTION("IMPORTRANGE(""https://docs.google.com/spreadsheets/d/1eHaY18a8A9IcSdp1K8H6x8fbOy06t2VsZHhMHf-1x7Y/edit?usp=sharing"",""แผน!HC18"")"),0)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IFERROR(__xludf.DUMMYFUNCTION("IMPORTRANGE(""https://docs.google.com/spreadsheets/d/1-uDff_7J0KD5mKrp0Vvzr7lt3OU09vwQwhkpOPPYv2Y/edit?usp=sharing"",""งบพรบ!FM18"")"),0)</f>
        <v>0</v>
      </c>
      <c r="M519" s="230">
        <f ca="1">IFERROR(__xludf.DUMMYFUNCTION("IMPORTRANGE(""https://docs.google.com/spreadsheets/d/1-uDff_7J0KD5mKrp0Vvzr7lt3OU09vwQwhkpOPPYv2Y/edit?usp=sharing"",""งบพรบ!FR18"")"),0)</f>
        <v>0</v>
      </c>
      <c r="N519" s="230">
        <f ca="1">IFERROR(__xludf.DUMMYFUNCTION("IMPORTRANGE(""https://docs.google.com/spreadsheets/d/1-uDff_7J0KD5mKrp0Vvzr7lt3OU09vwQwhkpOPPYv2Y/edit?usp=sharing"",""งบพรบ!FT18"")"),0)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IFERROR(__xludf.DUMMYFUNCTION("IMPORTRANGE(""https://docs.google.com/spreadsheets/d/1-uDff_7J0KD5mKrp0Vvzr7lt3OU09vwQwhkpOPPYv2Y/edit?usp=sharing"",""งบพรบ!FP18"")"),0)</f>
        <v>0</v>
      </c>
      <c r="M522" s="230">
        <f ca="1">IFERROR(__xludf.DUMMYFUNCTION("IMPORTRANGE(""https://docs.google.com/spreadsheets/d/1-uDff_7J0KD5mKrp0Vvzr7lt3OU09vwQwhkpOPPYv2Y/edit?usp=sharing"",""งบพรบ!FS18"")"),0)</f>
        <v>0</v>
      </c>
      <c r="N522" s="230">
        <f ca="1">IFERROR(__xludf.DUMMYFUNCTION("IMPORTRANGE(""https://docs.google.com/spreadsheets/d/1-uDff_7J0KD5mKrp0Vvzr7lt3OU09vwQwhkpOPPYv2Y/edit?usp=sharing"",""งบพรบ!FU18"")"),0)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50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7475</v>
      </c>
      <c r="R617" s="515">
        <f t="shared" ca="1" si="384"/>
        <v>7475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7475</v>
      </c>
      <c r="R619" s="230">
        <f t="shared" ca="1" si="388"/>
        <v>7475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7475</v>
      </c>
      <c r="R620" s="230">
        <f t="shared" ca="1" si="390"/>
        <v>7475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IFERROR(__xludf.DUMMYFUNCTION("IMPORTRANGE(""https://docs.google.com/spreadsheets/d/1ItG2mGa2ceCfYo0BwxsXqNm01IGEUdYcSSLTEv9YCik/edit?usp=sharing"",""เบิกจ่ายกองทุน!F18"")"),7475)</f>
        <v>7475</v>
      </c>
      <c r="R622" s="230">
        <f ca="1">IFERROR(__xludf.DUMMYFUNCTION("IMPORTRANGE(""https://docs.google.com/spreadsheets/d/1ItG2mGa2ceCfYo0BwxsXqNm01IGEUdYcSSLTEv9YCik/edit?usp=sharing"",""เบิกจ่ายกองทุน!G18"")"),7475)</f>
        <v>7475</v>
      </c>
      <c r="S622" s="230">
        <f ca="1">IFERROR(__xludf.DUMMYFUNCTION("IMPORTRANGE(""https://docs.google.com/spreadsheets/d/1ItG2mGa2ceCfYo0BwxsXqNm01IGEUdYcSSLTEv9YCik/edit?usp=sharing"",""เบิกจ่ายกองทุน!H18"")"),0)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IFERROR(__xludf.DUMMYFUNCTION("IMPORTRANGE(""https://docs.google.com/spreadsheets/d/1eHaY18a8A9IcSdp1K8H6x8fbOy06t2VsZHhMHf-1x7Y/edit?usp=sharing"",""แผน!ID18"")"),50)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IFERROR(__xludf.DUMMYFUNCTION("IMPORTRANGE(""https://docs.google.com/spreadsheets/d/1eHaY18a8A9IcSdp1K8H6x8fbOy06t2VsZHhMHf-1x7Y/edit?usp=sharing"",""แผน!IC18"")"),1)</f>
        <v>1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IFERROR(__xludf.DUMMYFUNCTION("IMPORTRANGE(""https://docs.google.com/spreadsheets/d/1eHaY18a8A9IcSdp1K8H6x8fbOy06t2VsZHhMHf-1x7Y/edit?usp=sharing"",""แผน!IC18"")"),1)</f>
        <v>1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IFERROR(__xludf.DUMMYFUNCTION("IMPORTRANGE(""https://docs.google.com/spreadsheets/d/1eHaY18a8A9IcSdp1K8H6x8fbOy06t2VsZHhMHf-1x7Y/edit?usp=sharing"",""แผน!IE18"")"),0)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284040</v>
      </c>
      <c r="R643" s="515">
        <f t="shared" ca="1" si="398"/>
        <v>284040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284040</v>
      </c>
      <c r="R645" s="230">
        <f t="shared" ca="1" si="402"/>
        <v>284040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284040</v>
      </c>
      <c r="R646" s="230">
        <f t="shared" ca="1" si="404"/>
        <v>284040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8" s="230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8" s="230">
        <f ca="1">IFERROR(__xludf.DUMMYFUNCTION("IMPORTRANGE(""https://docs.google.com/spreadsheets/d/1ItG2mGa2ceCfYo0BwxsXqNm01IGEUdYcSSLTEv9YCik/edit?usp=sharing"",""เบิกจ่ายกองทุน!K18"")"),0)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IFERROR(__xludf.DUMMYFUNCTION("IMPORTRANGE(""https://docs.google.com/spreadsheets/d/1eHaY18a8A9IcSdp1K8H6x8fbOy06t2VsZHhMHf-1x7Y/edit?usp=sharing"",""แผน!IF18"")"),0)</f>
        <v>0</v>
      </c>
      <c r="J653" s="189">
        <f ca="1">IFERROR(__xludf.DUMMYFUNCTION("IMPORTRANGE(""https://docs.google.com/spreadsheets/d/1tdoBKaGub7dwA3U6UFTqxio9LNnvDCQjHKmttSEBsFQ/edit?usp=sharing"",""จัดที่ดิน!AU18"")"),0)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IFERROR(__xludf.DUMMYFUNCTION("IMPORTRANGE(""https://docs.google.com/spreadsheets/d/1eHaY18a8A9IcSdp1K8H6x8fbOy06t2VsZHhMHf-1x7Y/edit?usp=sharing"",""แผน!IG18"")"),40)</f>
        <v>40</v>
      </c>
      <c r="J654" s="189">
        <f ca="1">IFERROR(__xludf.DUMMYFUNCTION("IMPORTRANGE(""https://docs.google.com/spreadsheets/d/1tdoBKaGub7dwA3U6UFTqxio9LNnvDCQjHKmttSEBsFQ/edit?usp=sharing"",""จัดที่ดิน!AW18"")"),0)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IFERROR(__xludf.DUMMYFUNCTION("IMPORTRANGE(""https://docs.google.com/spreadsheets/d/1eHaY18a8A9IcSdp1K8H6x8fbOy06t2VsZHhMHf-1x7Y/edit?usp=sharing"",""แผน!IH18"")"),1955)</f>
        <v>1955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IFERROR(__xludf.DUMMYFUNCTION("IMPORTRANGE(""https://docs.google.com/spreadsheets/d/1eHaY18a8A9IcSdp1K8H6x8fbOy06t2VsZHhMHf-1x7Y/edit?usp=sharing"",""แผน!II18"")"),1455)</f>
        <v>1455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IFERROR(__xludf.DUMMYFUNCTION("IMPORTRANGE(""https://docs.google.com/spreadsheets/d/1eHaY18a8A9IcSdp1K8H6x8fbOy06t2VsZHhMHf-1x7Y/edit?usp=sharing"",""แผน!IJ18"")"),500)</f>
        <v>500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IFERROR(__xludf.DUMMYFUNCTION("IMPORTRANGE(""https://docs.google.com/spreadsheets/d/1eHaY18a8A9IcSdp1K8H6x8fbOy06t2VsZHhMHf-1x7Y/edit?usp=sharing"",""แผน!IK18"")"),1846)</f>
        <v>1846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IFERROR(__xludf.DUMMYFUNCTION("IMPORTRANGE(""https://docs.google.com/spreadsheets/d/1tdoBKaGub7dwA3U6UFTqxio9LNnvDCQjHKmttSEBsFQ/edit?usp=sharing"",""จัดที่ดิน!AY18"")"),0)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IFERROR(__xludf.DUMMYFUNCTION("IMPORTRANGE(""https://docs.google.com/spreadsheets/d/1tdoBKaGub7dwA3U6UFTqxio9LNnvDCQjHKmttSEBsFQ/edit?usp=sharing"",""จัดที่ดิน!AZ18"")"),0)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IFERROR(__xludf.DUMMYFUNCTION("IMPORTRANGE(""https://docs.google.com/spreadsheets/d/1eHaY18a8A9IcSdp1K8H6x8fbOy06t2VsZHhMHf-1x7Y/edit?usp=sharing"",""แผน!IL18"")"),2500)</f>
        <v>2500</v>
      </c>
      <c r="J674" s="189">
        <f ca="1">IFERROR(__xludf.DUMMYFUNCTION("IMPORTRANGE(""https://docs.google.com/spreadsheets/d/1tdoBKaGub7dwA3U6UFTqxio9LNnvDCQjHKmttSEBsFQ/edit?usp=sharing"",""จัดที่ดิน!BA18"")"),0)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IFERROR(__xludf.DUMMYFUNCTION("IMPORTRANGE(""https://docs.google.com/spreadsheets/d/1eHaY18a8A9IcSdp1K8H6x8fbOy06t2VsZHhMHf-1x7Y/edit?usp=sharing"",""แผน!IM18"")"),40)</f>
        <v>40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IFERROR(__xludf.DUMMYFUNCTION("IMPORTRANGE(""https://docs.google.com/spreadsheets/d/1eHaY18a8A9IcSdp1K8H6x8fbOy06t2VsZHhMHf-1x7Y/edit?usp=sharing"",""แผน!IN18"")"),1009)</f>
        <v>1009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IFERROR(__xludf.DUMMYFUNCTION("IMPORTRANGE(""https://docs.google.com/spreadsheets/d/1eHaY18a8A9IcSdp1K8H6x8fbOy06t2VsZHhMHf-1x7Y/edit?usp=sharing"",""แผน!IO18"")"),40)</f>
        <v>40</v>
      </c>
      <c r="J677" s="189">
        <f ca="1">IFERROR(__xludf.DUMMYFUNCTION("IMPORTRANGE(""https://docs.google.com/spreadsheets/d/1tdoBKaGub7dwA3U6UFTqxio9LNnvDCQjHKmttSEBsFQ/edit?usp=sharing"",""จัดที่ดิน!BF18"")"),0)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IFERROR(__xludf.DUMMYFUNCTION("IMPORTRANGE(""https://docs.google.com/spreadsheets/d/1tdoBKaGub7dwA3U6UFTqxio9LNnvDCQjHKmttSEBsFQ/edit?usp=sharing"",""จัดที่ดิน!BG18"")"),0)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IFERROR(__xludf.DUMMYFUNCTION("IMPORTRANGE(""https://docs.google.com/spreadsheets/d/1eHaY18a8A9IcSdp1K8H6x8fbOy06t2VsZHhMHf-1x7Y/edit?usp=sharing"",""แผน!IP18"")"),1009)</f>
        <v>1009</v>
      </c>
      <c r="J679" s="189">
        <f ca="1">IFERROR(__xludf.DUMMYFUNCTION("IMPORTRANGE(""https://docs.google.com/spreadsheets/d/1tdoBKaGub7dwA3U6UFTqxio9LNnvDCQjHKmttSEBsFQ/edit?usp=sharing"",""จัดที่ดิน!BH18"")"),0)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IFERROR(__xludf.DUMMYFUNCTION("IMPORTRANGE(""https://docs.google.com/spreadsheets/d/1eHaY18a8A9IcSdp1K8H6x8fbOy06t2VsZHhMHf-1x7Y/edit?usp=sharing"",""แผน!IQ18"")"),0)</f>
        <v>0</v>
      </c>
      <c r="J680" s="189">
        <f ca="1">IFERROR(__xludf.DUMMYFUNCTION("IMPORTRANGE(""https://docs.google.com/spreadsheets/d/1tdoBKaGub7dwA3U6UFTqxio9LNnvDCQjHKmttSEBsFQ/edit?usp=sharing"",""จัดที่ดิน!BK18"")"),0)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IFERROR(__xludf.DUMMYFUNCTION("IMPORTRANGE(""https://docs.google.com/spreadsheets/d/1tdoBKaGub7dwA3U6UFTqxio9LNnvDCQjHKmttSEBsFQ/edit?usp=sharing"",""จัดที่ดิน!BL18"")"),0)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IFERROR(__xludf.DUMMYFUNCTION("IMPORTRANGE(""https://docs.google.com/spreadsheets/d/1eHaY18a8A9IcSdp1K8H6x8fbOy06t2VsZHhMHf-1x7Y/edit?usp=sharing"",""แผน!IR18"")"),0)</f>
        <v>0</v>
      </c>
      <c r="J682" s="189">
        <f ca="1">IFERROR(__xludf.DUMMYFUNCTION("IMPORTRANGE(""https://docs.google.com/spreadsheets/d/1tdoBKaGub7dwA3U6UFTqxio9LNnvDCQjHKmttSEBsFQ/edit?usp=sharing"",""จัดที่ดิน!BM18"")"),0)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IFERROR(__xludf.DUMMYFUNCTION("IMPORTRANGE(""https://docs.google.com/spreadsheets/d/1eHaY18a8A9IcSdp1K8H6x8fbOy06t2VsZHhMHf-1x7Y/edit?usp=sharing"",""แผน!IS18"")"),105)</f>
        <v>105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1">I708</f>
        <v>300</v>
      </c>
      <c r="J690" s="700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463010</v>
      </c>
      <c r="R691" s="515">
        <f t="shared" ca="1" si="415"/>
        <v>463010</v>
      </c>
      <c r="S691" s="515">
        <f t="shared" ca="1" si="415"/>
        <v>91297.95</v>
      </c>
      <c r="T691" s="515">
        <f t="shared" ref="T691:T699" ca="1" si="416">IF(Q691&gt;0,S691*100/Q691,0)</f>
        <v>19.718353815252371</v>
      </c>
      <c r="U691" s="515">
        <f t="shared" ref="U691:U699" ca="1" si="417">IF(R691&gt;0,S691*100/R691,0)</f>
        <v>19.718353815252371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463010</v>
      </c>
      <c r="R693" s="230">
        <f t="shared" ca="1" si="419"/>
        <v>463010</v>
      </c>
      <c r="S693" s="230">
        <f t="shared" ca="1" si="419"/>
        <v>91297.95</v>
      </c>
      <c r="T693" s="230">
        <f t="shared" ca="1" si="416"/>
        <v>19.718353815252371</v>
      </c>
      <c r="U693" s="230">
        <f t="shared" ca="1" si="417"/>
        <v>19.718353815252371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463010</v>
      </c>
      <c r="R694" s="230">
        <f t="shared" ca="1" si="421"/>
        <v>463010</v>
      </c>
      <c r="S694" s="230">
        <f t="shared" ca="1" si="421"/>
        <v>91297.95</v>
      </c>
      <c r="T694" s="230">
        <f t="shared" ca="1" si="416"/>
        <v>19.718353815252371</v>
      </c>
      <c r="U694" s="230">
        <f t="shared" ca="1" si="417"/>
        <v>19.718353815252371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6" s="230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6" s="230">
        <f ca="1">IFERROR(__xludf.DUMMYFUNCTION("IMPORTRANGE(""https://docs.google.com/spreadsheets/d/1ItG2mGa2ceCfYo0BwxsXqNm01IGEUdYcSSLTEv9YCik/edit?usp=sharing"",""เบิกจ่ายกองทุน!N18"")"),91297.95)</f>
        <v>91297.95</v>
      </c>
      <c r="T696" s="230">
        <f t="shared" ca="1" si="416"/>
        <v>19.718353815252371</v>
      </c>
      <c r="U696" s="230">
        <f t="shared" ca="1" si="417"/>
        <v>19.718353815252371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IFERROR(__xludf.DUMMYFUNCTION("IMPORTRANGE(""https://docs.google.com/spreadsheets/d/1eHaY18a8A9IcSdp1K8H6x8fbOy06t2VsZHhMHf-1x7Y/edit?usp=sharing"",""แผน!LC18"")"),3)</f>
        <v>3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305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IFERROR(__xludf.DUMMYFUNCTION("IMPORTRANGE(""https://docs.google.com/spreadsheets/d/1eHaY18a8A9IcSdp1K8H6x8fbOy06t2VsZHhMHf-1x7Y/edit?usp=sharing"",""แผน!LJ18"")"),300)</f>
        <v>300</v>
      </c>
      <c r="J704" s="189">
        <f ca="1">IFERROR(__xludf.DUMMYFUNCTION("IMPORTRANGE(""https://docs.google.com/spreadsheets/d/1tdoBKaGub7dwA3U6UFTqxio9LNnvDCQjHKmttSEBsFQ/edit?usp=sharing"",""จัดที่ดิน!AP18"")"),0)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IFERROR(__xludf.DUMMYFUNCTION("IMPORTRANGE(""https://docs.google.com/spreadsheets/d/1tdoBKaGub7dwA3U6UFTqxio9LNnvDCQjHKmttSEBsFQ/edit?usp=sharing"",""จัดที่ดิน!AQ18"")"),0)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IFERROR(__xludf.DUMMYFUNCTION("IMPORTRANGE(""https://docs.google.com/spreadsheets/d/1eHaY18a8A9IcSdp1K8H6x8fbOy06t2VsZHhMHf-1x7Y/edit?usp=sharing"",""แผน!LK18"")"),5)</f>
        <v>5</v>
      </c>
      <c r="J706" s="189">
        <f ca="1">IFERROR(__xludf.DUMMYFUNCTION("IMPORTRANGE(""https://docs.google.com/spreadsheets/d/1tdoBKaGub7dwA3U6UFTqxio9LNnvDCQjHKmttSEBsFQ/edit?usp=sharing"",""จัดที่ดิน!AR18"")"),0)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IFERROR(__xludf.DUMMYFUNCTION("IMPORTRANGE(""https://docs.google.com/spreadsheets/d/1tdoBKaGub7dwA3U6UFTqxio9LNnvDCQjHKmttSEBsFQ/edit?usp=sharing"",""จัดที่ดิน!AS18"")"),0)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IFERROR(__xludf.DUMMYFUNCTION("IMPORTRANGE(""https://docs.google.com/spreadsheets/d/1eHaY18a8A9IcSdp1K8H6x8fbOy06t2VsZHhMHf-1x7Y/edit?usp=sharing"",""แผน!LJ18"")"),300)</f>
        <v>300</v>
      </c>
      <c r="J708" s="189">
        <f ca="1">IFERROR(__xludf.DUMMYFUNCTION("IMPORTRANGE(""https://docs.google.com/spreadsheets/d/1tdoBKaGub7dwA3U6UFTqxio9LNnvDCQjHKmttSEBsFQ/edit?usp=sharing"",""จัดที่ดิน!BN18"")"),0)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IFERROR(__xludf.DUMMYFUNCTION("IMPORTRANGE(""https://docs.google.com/spreadsheets/d/1tdoBKaGub7dwA3U6UFTqxio9LNnvDCQjHKmttSEBsFQ/edit?usp=sharing"",""จัดที่ดิน!BO18"")"),0)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IFERROR(__xludf.DUMMYFUNCTION("IMPORTRANGE(""https://docs.google.com/spreadsheets/d/1eHaY18a8A9IcSdp1K8H6x8fbOy06t2VsZHhMHf-1x7Y/edit?usp=sharing"",""แผน!LK18"")"),5)</f>
        <v>5</v>
      </c>
      <c r="J710" s="189">
        <f ca="1">IFERROR(__xludf.DUMMYFUNCTION("IMPORTRANGE(""https://docs.google.com/spreadsheets/d/1tdoBKaGub7dwA3U6UFTqxio9LNnvDCQjHKmttSEBsFQ/edit?usp=sharing"",""จัดที่ดิน!BP18"")"),0)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IFERROR(__xludf.DUMMYFUNCTION("IMPORTRANGE(""https://docs.google.com/spreadsheets/d/1tdoBKaGub7dwA3U6UFTqxio9LNnvDCQjHKmttSEBsFQ/edit?usp=sharing"",""จัดที่ดิน!BQ18"")"),0)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IFERROR(__xludf.DUMMYFUNCTION("IMPORTRANGE(""https://docs.google.com/spreadsheets/d/1eHaY18a8A9IcSdp1K8H6x8fbOy06t2VsZHhMHf-1x7Y/edit?usp=sharing"",""แผน!GA18"")"),128)</f>
        <v>128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IFERROR(__xludf.DUMMYFUNCTION("IMPORTRANGE(""https://docs.google.com/spreadsheets/d/1eHaY18a8A9IcSdp1K8H6x8fbOy06t2VsZHhMHf-1x7Y/edit?usp=sharing"",""แผน!FZ18"")"),1250)</f>
        <v>1250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1008470</v>
      </c>
      <c r="R729" s="515">
        <f t="shared" ca="1" si="442"/>
        <v>1008470</v>
      </c>
      <c r="S729" s="515">
        <f t="shared" ca="1" si="442"/>
        <v>0</v>
      </c>
      <c r="T729" s="515">
        <f t="shared" ref="T729:T737" ca="1" si="443">IF(Q729&gt;0,S729*100/Q729,0)</f>
        <v>0</v>
      </c>
      <c r="U729" s="515">
        <f t="shared" ref="U729:U737" ca="1" si="444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1008470</v>
      </c>
      <c r="R731" s="230">
        <f t="shared" ca="1" si="446"/>
        <v>1008470</v>
      </c>
      <c r="S731" s="230">
        <f t="shared" ca="1" si="446"/>
        <v>0</v>
      </c>
      <c r="T731" s="230">
        <f t="shared" ca="1" si="443"/>
        <v>0</v>
      </c>
      <c r="U731" s="230">
        <f t="shared" ca="1" si="444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1008470</v>
      </c>
      <c r="R732" s="230">
        <f t="shared" ca="1" si="448"/>
        <v>1008470</v>
      </c>
      <c r="S732" s="230">
        <f t="shared" ca="1" si="448"/>
        <v>0</v>
      </c>
      <c r="T732" s="230">
        <f t="shared" ca="1" si="443"/>
        <v>0</v>
      </c>
      <c r="U732" s="230">
        <f t="shared" ca="1" si="444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IFERROR(__xludf.DUMMYFUNCTION("IMPORTRANGE(""https://docs.google.com/spreadsheets/d/1ItG2mGa2ceCfYo0BwxsXqNm01IGEUdYcSSLTEv9YCik/edit?usp=sharing"",""เบิกจ่ายกองทุน!Q18"")"),0)</f>
        <v>0</v>
      </c>
      <c r="T734" s="230">
        <f t="shared" ca="1" si="443"/>
        <v>0</v>
      </c>
      <c r="U734" s="230">
        <f t="shared" ca="1" si="444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IFERROR(__xludf.DUMMYFUNCTION("IMPORTRANGE(""https://docs.google.com/spreadsheets/d/1eHaY18a8A9IcSdp1K8H6x8fbOy06t2VsZHhMHf-1x7Y/edit?usp=sharing"",""แผน!GB18"")"),1000)</f>
        <v>1000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IFERROR(__xludf.DUMMYFUNCTION("IMPORTRANGE(""https://docs.google.com/spreadsheets/d/1eHaY18a8A9IcSdp1K8H6x8fbOy06t2VsZHhMHf-1x7Y/edit?usp=sharing"",""แผน!GC18"")"),100)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IFERROR(__xludf.DUMMYFUNCTION("IMPORTRANGE(""https://docs.google.com/spreadsheets/d/1eHaY18a8A9IcSdp1K8H6x8fbOy06t2VsZHhMHf-1x7Y/edit?usp=sharing"",""แผน!GD18"")"),250)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IFERROR(__xludf.DUMMYFUNCTION("IMPORTRANGE(""https://docs.google.com/spreadsheets/d/1eHaY18a8A9IcSdp1K8H6x8fbOy06t2VsZHhMHf-1x7Y/edit?usp=sharing"",""แผน!GE18"")"),25)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IFERROR(__xludf.DUMMYFUNCTION("IMPORTRANGE(""https://docs.google.com/spreadsheets/d/1eHaY18a8A9IcSdp1K8H6x8fbOy06t2VsZHhMHf-1x7Y/edit?usp=sharing"",""แผน!GF18"")"),3)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IFERROR(__xludf.DUMMYFUNCTION("IMPORTRANGE(""https://docs.google.com/spreadsheets/d/1eHaY18a8A9IcSdp1K8H6x8fbOy06t2VsZHhMHf-1x7Y/edit?usp=sharing"",""แผน!GC18"")"),100)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IFERROR(__xludf.DUMMYFUNCTION("IMPORTRANGE(""https://docs.google.com/spreadsheets/d/1eHaY18a8A9IcSdp1K8H6x8fbOy06t2VsZHhMHf-1x7Y/edit?usp=sharing"",""แผน!GE18"")"),25)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70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140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470400</v>
      </c>
      <c r="R760" s="515">
        <f t="shared" ca="1" si="457"/>
        <v>470400</v>
      </c>
      <c r="S760" s="515">
        <f t="shared" ca="1" si="457"/>
        <v>0</v>
      </c>
      <c r="T760" s="515">
        <f t="shared" ref="T760:T768" ca="1" si="458">IF(Q760&gt;0,S760*100/Q760,0)</f>
        <v>0</v>
      </c>
      <c r="U760" s="515">
        <f t="shared" ref="U760:U768" ca="1" si="459">IF(R760&gt;0,S760*100/R760,0)</f>
        <v>0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470400</v>
      </c>
      <c r="R762" s="230">
        <f t="shared" ca="1" si="461"/>
        <v>470400</v>
      </c>
      <c r="S762" s="230">
        <f t="shared" ca="1" si="461"/>
        <v>0</v>
      </c>
      <c r="T762" s="230">
        <f t="shared" ca="1" si="458"/>
        <v>0</v>
      </c>
      <c r="U762" s="230">
        <f t="shared" ca="1" si="459"/>
        <v>0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470400</v>
      </c>
      <c r="R763" s="230">
        <f t="shared" ca="1" si="463"/>
        <v>470400</v>
      </c>
      <c r="S763" s="230">
        <f t="shared" ca="1" si="463"/>
        <v>0</v>
      </c>
      <c r="T763" s="230">
        <f t="shared" ca="1" si="458"/>
        <v>0</v>
      </c>
      <c r="U763" s="230">
        <f t="shared" ca="1" si="459"/>
        <v>0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IFERROR(__xludf.DUMMYFUNCTION("IMPORTRANGE(""https://docs.google.com/spreadsheets/d/1ItG2mGa2ceCfYo0BwxsXqNm01IGEUdYcSSLTEv9YCik/edit?usp=sharing"",""เบิกจ่ายกองทุน!U18"")"),470400)</f>
        <v>470400</v>
      </c>
      <c r="R765" s="230">
        <f ca="1">IFERROR(__xludf.DUMMYFUNCTION("IMPORTRANGE(""https://docs.google.com/spreadsheets/d/1ItG2mGa2ceCfYo0BwxsXqNm01IGEUdYcSSLTEv9YCik/edit?usp=sharing"",""เบิกจ่ายกองทุน!V18"")"),470400)</f>
        <v>470400</v>
      </c>
      <c r="S765" s="230">
        <f ca="1">IFERROR(__xludf.DUMMYFUNCTION("IMPORTRANGE(""https://docs.google.com/spreadsheets/d/1ItG2mGa2ceCfYo0BwxsXqNm01IGEUdYcSSLTEv9YCik/edit?usp=sharing"",""เบิกจ่ายกองทุน!W18"")"),0)</f>
        <v>0</v>
      </c>
      <c r="T765" s="230">
        <f t="shared" ca="1" si="458"/>
        <v>0</v>
      </c>
      <c r="U765" s="230">
        <f t="shared" ca="1" si="459"/>
        <v>0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IFERROR(__xludf.DUMMYFUNCTION("IMPORTRANGE(""https://docs.google.com/spreadsheets/d/1eHaY18a8A9IcSdp1K8H6x8fbOy06t2VsZHhMHf-1x7Y/edit?usp=sharing"",""แผน!FI18"")"),0)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IFERROR(__xludf.DUMMYFUNCTION("IMPORTRANGE(""https://docs.google.com/spreadsheets/d/1eHaY18a8A9IcSdp1K8H6x8fbOy06t2VsZHhMHf-1x7Y/edit?usp=sharing"",""แผน!FQ18"")"),70)</f>
        <v>70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IFERROR(__xludf.DUMMYFUNCTION("IMPORTRANGE(""https://docs.google.com/spreadsheets/d/1eHaY18a8A9IcSdp1K8H6x8fbOy06t2VsZHhMHf-1x7Y/edit?usp=sharing"",""แผน!FR18"")"),140)</f>
        <v>140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IFERROR(__xludf.DUMMYFUNCTION("IMPORTRANGE(""https://docs.google.com/spreadsheets/d/1eHaY18a8A9IcSdp1K8H6x8fbOy06t2VsZHhMHf-1x7Y/edit?usp=sharing"",""แผน!FS18"")"),140)</f>
        <v>140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IFERROR(__xludf.DUMMYFUNCTION("IMPORTRANGE(""https://docs.google.com/spreadsheets/d/1eHaY18a8A9IcSdp1K8H6x8fbOy06t2VsZHhMHf-1x7Y/edit?usp=sharing"",""แผน!FT18"")"),70)</f>
        <v>70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IFERROR(__xludf.DUMMYFUNCTION("IMPORTRANGE(""https://docs.google.com/spreadsheets/d/10OvvATaaLtwErnr3qtWFcTmtbfpFEt5Bsqel9sXx0uE/edit?usp=sharing"",""งานกองทุน!D18"")"),1930000)</f>
        <v>1930000</v>
      </c>
      <c r="J778" s="189">
        <f ca="1">IFERROR(__xludf.DUMMYFUNCTION("IMPORTRANGE(""https://docs.google.com/spreadsheets/d/10OvvATaaLtwErnr3qtWFcTmtbfpFEt5Bsqel9sXx0uE/edit?usp=sharing"",""งานกองทุน!F18"")"),1009253.98)</f>
        <v>1009253.98</v>
      </c>
      <c r="K778" s="230">
        <f t="shared" ref="K778:K785" ca="1" si="466">IF(I778&gt;0,J778*100/I778,0)</f>
        <v>52.292952331606216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IFERROR(__xludf.DUMMYFUNCTION("IMPORTRANGE(""https://docs.google.com/spreadsheets/d/10OvvATaaLtwErnr3qtWFcTmtbfpFEt5Bsqel9sXx0uE/edit?usp=sharing"",""งานกองทุน!C18"")"),98)</f>
        <v>98</v>
      </c>
      <c r="J779" s="189">
        <f ca="1">IFERROR(__xludf.DUMMYFUNCTION("IMPORTRANGE(""https://docs.google.com/spreadsheets/d/10OvvATaaLtwErnr3qtWFcTmtbfpFEt5Bsqel9sXx0uE/edit?usp=sharing"",""งานกองทุน!E18"")"),67)</f>
        <v>67</v>
      </c>
      <c r="K779" s="230">
        <f t="shared" ca="1" si="466"/>
        <v>68.367346938775512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89">
        <f ca="1">IFERROR(__xludf.DUMMYFUNCTION("IMPORTRANGE(""https://docs.google.com/spreadsheets/d/10OvvATaaLtwErnr3qtWFcTmtbfpFEt5Bsqel9sXx0uE/edit?usp=sharing"",""งานกองทุน!K18"")"),129346.18)</f>
        <v>129346.18</v>
      </c>
      <c r="K780" s="230">
        <f t="shared" ca="1" si="466"/>
        <v>2.7754353903761406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IFERROR(__xludf.DUMMYFUNCTION("IMPORTRANGE(""https://docs.google.com/spreadsheets/d/10OvvATaaLtwErnr3qtWFcTmtbfpFEt5Bsqel9sXx0uE/edit?usp=sharing"",""งานกองทุน!H18"")"),254)</f>
        <v>254</v>
      </c>
      <c r="J781" s="189">
        <f ca="1">IFERROR(__xludf.DUMMYFUNCTION("IMPORTRANGE(""https://docs.google.com/spreadsheets/d/10OvvATaaLtwErnr3qtWFcTmtbfpFEt5Bsqel9sXx0uE/edit?usp=sharing"",""งานกองทุน!J18"")"),14)</f>
        <v>14</v>
      </c>
      <c r="K781" s="230">
        <f t="shared" ca="1" si="466"/>
        <v>5.5118110236220472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89">
        <f ca="1">IFERROR(__xludf.DUMMYFUNCTION("IMPORTRANGE(""https://docs.google.com/spreadsheets/d/10OvvATaaLtwErnr3qtWFcTmtbfpFEt5Bsqel9sXx0uE/edit?usp=sharing"",""งานกองทุน!P18"")"),5598498.95)</f>
        <v>5598498.9500000002</v>
      </c>
      <c r="K782" s="230">
        <f t="shared" ca="1" si="466"/>
        <v>15.789448669630598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IFERROR(__xludf.DUMMYFUNCTION("IMPORTRANGE(""https://docs.google.com/spreadsheets/d/10OvvATaaLtwErnr3qtWFcTmtbfpFEt5Bsqel9sXx0uE/edit?usp=sharing"",""งานกองทุน!M18"")"),2710)</f>
        <v>2710</v>
      </c>
      <c r="J783" s="189">
        <f ca="1">IFERROR(__xludf.DUMMYFUNCTION("IMPORTRANGE(""https://docs.google.com/spreadsheets/d/10OvvATaaLtwErnr3qtWFcTmtbfpFEt5Bsqel9sXx0uE/edit?usp=sharing"",""งานกองทุน!O18"")"),912)</f>
        <v>912</v>
      </c>
      <c r="K783" s="230">
        <f t="shared" ca="1" si="466"/>
        <v>33.653136531365313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IFERROR(__xludf.DUMMYFUNCTION("IMPORTRANGE(""https://docs.google.com/spreadsheets/d/10OvvATaaLtwErnr3qtWFcTmtbfpFEt5Bsqel9sXx0uE/edit?usp=sharing"",""งานกองทุน!S18"")"),3724000)</f>
        <v>3724000</v>
      </c>
      <c r="J784" s="189">
        <f ca="1">IFERROR(__xludf.DUMMYFUNCTION("IMPORTRANGE(""https://docs.google.com/spreadsheets/d/10OvvATaaLtwErnr3qtWFcTmtbfpFEt5Bsqel9sXx0uE/edit?usp=sharing"",""งานกองทุน!U18"")"),460000)</f>
        <v>460000</v>
      </c>
      <c r="K784" s="230">
        <f t="shared" ca="1" si="466"/>
        <v>12.352309344790548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IFERROR(__xludf.DUMMYFUNCTION("IMPORTRANGE(""https://docs.google.com/spreadsheets/d/10OvvATaaLtwErnr3qtWFcTmtbfpFEt5Bsqel9sXx0uE/edit?usp=sharing"",""งานกองทุน!R18"")"),133)</f>
        <v>133</v>
      </c>
      <c r="J785" s="194">
        <f ca="1">IFERROR(__xludf.DUMMYFUNCTION("IMPORTRANGE(""https://docs.google.com/spreadsheets/d/10OvvATaaLtwErnr3qtWFcTmtbfpFEt5Bsqel9sXx0uE/edit?usp=sharing"",""งานกองทุน!T18"")"),23)</f>
        <v>23</v>
      </c>
      <c r="K785" s="461">
        <f t="shared" ca="1" si="466"/>
        <v>17.293233082706767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9470D-9943-42A9-B140-70042FB0107C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2543135</v>
      </c>
      <c r="M19" s="474">
        <f t="shared" ca="1" si="0"/>
        <v>2750614</v>
      </c>
      <c r="N19" s="474">
        <f t="shared" ca="1" si="0"/>
        <v>1362223.67</v>
      </c>
      <c r="O19" s="474">
        <f t="shared" ref="O19:O27" ca="1" si="1">IF(L19&gt;0,N19*100/L19,0)</f>
        <v>53.564740762877314</v>
      </c>
      <c r="P19" s="474">
        <f t="shared" ref="P19:P27" ca="1" si="2">IF(M19&gt;0,N19*100/M19,0)</f>
        <v>49.524348745407387</v>
      </c>
      <c r="Q19" s="474">
        <f t="shared" ref="Q19:S19" ca="1" si="3">Q20+Q21</f>
        <v>5476893.3900000006</v>
      </c>
      <c r="R19" s="474">
        <f t="shared" ca="1" si="3"/>
        <v>5414393</v>
      </c>
      <c r="S19" s="474">
        <f t="shared" ca="1" si="3"/>
        <v>108950</v>
      </c>
      <c r="T19" s="474">
        <f t="shared" ref="T19:T27" ca="1" si="4">IF(Q19&gt;0,S19*100/Q19,0)</f>
        <v>1.9892664005278362</v>
      </c>
      <c r="U19" s="474">
        <f t="shared" ref="U19:U27" ca="1" si="5">IF(R19&gt;0,S19*100/R19,0)</f>
        <v>2.0122292563543134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2543135</v>
      </c>
      <c r="M21" s="480">
        <f t="shared" ca="1" si="6"/>
        <v>2750614</v>
      </c>
      <c r="N21" s="480">
        <f t="shared" ca="1" si="6"/>
        <v>1362223.67</v>
      </c>
      <c r="O21" s="480">
        <f t="shared" ca="1" si="1"/>
        <v>53.564740762877314</v>
      </c>
      <c r="P21" s="480">
        <f t="shared" ca="1" si="2"/>
        <v>49.524348745407387</v>
      </c>
      <c r="Q21" s="480">
        <f t="shared" ca="1" si="7"/>
        <v>5476893.3900000006</v>
      </c>
      <c r="R21" s="480">
        <f t="shared" ca="1" si="7"/>
        <v>5414393</v>
      </c>
      <c r="S21" s="480">
        <f t="shared" ca="1" si="7"/>
        <v>108950</v>
      </c>
      <c r="T21" s="480">
        <f t="shared" ca="1" si="4"/>
        <v>1.9892664005278362</v>
      </c>
      <c r="U21" s="480">
        <f t="shared" ca="1" si="5"/>
        <v>2.0122292563543134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2543135</v>
      </c>
      <c r="M22" s="230">
        <f t="shared" ca="1" si="8"/>
        <v>2750614</v>
      </c>
      <c r="N22" s="230">
        <f t="shared" ca="1" si="8"/>
        <v>1362223.67</v>
      </c>
      <c r="O22" s="230">
        <f t="shared" ca="1" si="1"/>
        <v>53.564740762877314</v>
      </c>
      <c r="P22" s="230">
        <f t="shared" ca="1" si="2"/>
        <v>49.524348745407387</v>
      </c>
      <c r="Q22" s="230">
        <f t="shared" ref="Q22:S22" ca="1" si="9">Q23+Q24</f>
        <v>5476893.3900000006</v>
      </c>
      <c r="R22" s="230">
        <f t="shared" ca="1" si="9"/>
        <v>5414393</v>
      </c>
      <c r="S22" s="230">
        <f t="shared" ca="1" si="9"/>
        <v>108950</v>
      </c>
      <c r="T22" s="230">
        <f t="shared" ca="1" si="4"/>
        <v>1.9892664005278362</v>
      </c>
      <c r="U22" s="230">
        <f t="shared" ca="1" si="5"/>
        <v>2.0122292563543134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2543135</v>
      </c>
      <c r="M24" s="230">
        <f t="shared" ca="1" si="10"/>
        <v>2750614</v>
      </c>
      <c r="N24" s="230">
        <f t="shared" ca="1" si="10"/>
        <v>1362223.67</v>
      </c>
      <c r="O24" s="230">
        <f t="shared" ca="1" si="1"/>
        <v>53.564740762877314</v>
      </c>
      <c r="P24" s="230">
        <f t="shared" ca="1" si="2"/>
        <v>49.524348745407387</v>
      </c>
      <c r="Q24" s="230">
        <f t="shared" ca="1" si="11"/>
        <v>5476893.3900000006</v>
      </c>
      <c r="R24" s="230">
        <f t="shared" ca="1" si="11"/>
        <v>5414393</v>
      </c>
      <c r="S24" s="230">
        <f t="shared" ca="1" si="11"/>
        <v>108950</v>
      </c>
      <c r="T24" s="230">
        <f t="shared" ca="1" si="4"/>
        <v>1.9892664005278362</v>
      </c>
      <c r="U24" s="230">
        <f t="shared" ca="1" si="5"/>
        <v>2.0122292563543134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2543135</v>
      </c>
      <c r="M41" s="487">
        <f t="shared" ca="1" si="16"/>
        <v>2750614</v>
      </c>
      <c r="N41" s="487">
        <f t="shared" ca="1" si="16"/>
        <v>1362223.67</v>
      </c>
      <c r="O41" s="487">
        <f ca="1">IF(L41&gt;0,N41*100/L41,0)</f>
        <v>53.564740762877314</v>
      </c>
      <c r="P41" s="487">
        <f ca="1">IF(M41&gt;0,N41*100/M41,0)</f>
        <v>49.524348745407387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395350</v>
      </c>
      <c r="M45" s="491">
        <f t="shared" ca="1" si="17"/>
        <v>398024</v>
      </c>
      <c r="N45" s="491">
        <f t="shared" ca="1" si="17"/>
        <v>326152</v>
      </c>
      <c r="O45" s="491">
        <f t="shared" ref="O45:O53" ca="1" si="18">IF(L45&gt;0,N45*100/L45,0)</f>
        <v>82.497027949917793</v>
      </c>
      <c r="P45" s="491">
        <f t="shared" ref="P45:P53" ca="1" si="19">IF(M45&gt;0,N45*100/M45,0)</f>
        <v>81.942797419251107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395350</v>
      </c>
      <c r="M47" s="497">
        <f t="shared" ca="1" si="23"/>
        <v>398024</v>
      </c>
      <c r="N47" s="497">
        <f t="shared" ca="1" si="23"/>
        <v>326152</v>
      </c>
      <c r="O47" s="497">
        <f t="shared" ca="1" si="18"/>
        <v>82.497027949917793</v>
      </c>
      <c r="P47" s="497">
        <f t="shared" ca="1" si="19"/>
        <v>81.942797419251107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395350</v>
      </c>
      <c r="M48" s="230">
        <f t="shared" ca="1" si="25"/>
        <v>398024</v>
      </c>
      <c r="N48" s="230">
        <f t="shared" ca="1" si="25"/>
        <v>326152</v>
      </c>
      <c r="O48" s="230">
        <f t="shared" ca="1" si="18"/>
        <v>82.497027949917793</v>
      </c>
      <c r="P48" s="230">
        <f t="shared" ca="1" si="19"/>
        <v>81.942797419251107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IFERROR(__xludf.DUMMYFUNCTION("IMPORTRANGE(""https://docs.google.com/spreadsheets/d/1-uDff_7J0KD5mKrp0Vvzr7lt3OU09vwQwhkpOPPYv2Y/edit?usp=sharing"",""งบพรบ!P19"")"),395350)</f>
        <v>395350</v>
      </c>
      <c r="M50" s="230">
        <f ca="1">IFERROR(__xludf.DUMMYFUNCTION("IMPORTRANGE(""https://docs.google.com/spreadsheets/d/1-uDff_7J0KD5mKrp0Vvzr7lt3OU09vwQwhkpOPPYv2Y/edit?usp=sharing"",""งบพรบ!V19"")"),398024)</f>
        <v>398024</v>
      </c>
      <c r="N50" s="230">
        <f ca="1">IFERROR(__xludf.DUMMYFUNCTION("IMPORTRANGE(""https://docs.google.com/spreadsheets/d/1-uDff_7J0KD5mKrp0Vvzr7lt3OU09vwQwhkpOPPYv2Y/edit?usp=sharing"",""งบพรบ!Y19"")"),326152)</f>
        <v>326152</v>
      </c>
      <c r="O50" s="230">
        <f t="shared" ca="1" si="18"/>
        <v>82.497027949917793</v>
      </c>
      <c r="P50" s="230">
        <f t="shared" ca="1" si="19"/>
        <v>81.942797419251107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IFERROR(__xludf.DUMMYFUNCTION("IMPORTRANGE(""https://docs.google.com/spreadsheets/d/1-uDff_7J0KD5mKrp0Vvzr7lt3OU09vwQwhkpOPPYv2Y/edit?usp=sharing"",""งบพรบ!S19"")"),0)</f>
        <v>0</v>
      </c>
      <c r="M53" s="230">
        <f ca="1">IFERROR(__xludf.DUMMYFUNCTION("IMPORTRANGE(""https://docs.google.com/spreadsheets/d/1-uDff_7J0KD5mKrp0Vvzr7lt3OU09vwQwhkpOPPYv2Y/edit?usp=sharing"",""งบพรบ!W19"")"),0)</f>
        <v>0</v>
      </c>
      <c r="N53" s="230">
        <f ca="1">IFERROR(__xludf.DUMMYFUNCTION("IMPORTRANGE(""https://docs.google.com/spreadsheets/d/1-uDff_7J0KD5mKrp0Vvzr7lt3OU09vwQwhkpOPPYv2Y/edit?usp=sharing"",""งบพรบ!Z19"")"),0)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503200</v>
      </c>
      <c r="M60" s="502">
        <f t="shared" ca="1" si="29"/>
        <v>503200</v>
      </c>
      <c r="N60" s="502">
        <f t="shared" ca="1" si="29"/>
        <v>285487.77</v>
      </c>
      <c r="O60" s="502">
        <f t="shared" ref="O60:O68" ca="1" si="30">IF(L60&gt;0,N60*100/L60,0)</f>
        <v>56.734453497615263</v>
      </c>
      <c r="P60" s="502">
        <f t="shared" ref="P60:P68" ca="1" si="31">IF(M60&gt;0,N60*100/M60,0)</f>
        <v>56.734453497615263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503200</v>
      </c>
      <c r="M62" s="508">
        <f t="shared" ca="1" si="35"/>
        <v>503200</v>
      </c>
      <c r="N62" s="508">
        <f t="shared" ca="1" si="35"/>
        <v>285487.77</v>
      </c>
      <c r="O62" s="508">
        <f t="shared" ca="1" si="30"/>
        <v>56.734453497615263</v>
      </c>
      <c r="P62" s="508">
        <f t="shared" ca="1" si="31"/>
        <v>56.734453497615263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503200</v>
      </c>
      <c r="M63" s="230">
        <f t="shared" ca="1" si="37"/>
        <v>503200</v>
      </c>
      <c r="N63" s="230">
        <f t="shared" ca="1" si="37"/>
        <v>285487.77</v>
      </c>
      <c r="O63" s="230">
        <f t="shared" ca="1" si="30"/>
        <v>56.734453497615263</v>
      </c>
      <c r="P63" s="230">
        <f t="shared" ca="1" si="31"/>
        <v>56.734453497615263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IFERROR(__xludf.DUMMYFUNCTION("IMPORTRANGE(""https://docs.google.com/spreadsheets/d/1-uDff_7J0KD5mKrp0Vvzr7lt3OU09vwQwhkpOPPYv2Y/edit?usp=sharing"",""งบพรบ!AC19"")"),503200)</f>
        <v>503200</v>
      </c>
      <c r="M65" s="230">
        <f ca="1">IFERROR(__xludf.DUMMYFUNCTION("IMPORTRANGE(""https://docs.google.com/spreadsheets/d/1-uDff_7J0KD5mKrp0Vvzr7lt3OU09vwQwhkpOPPYv2Y/edit?usp=sharing"",""งบพรบ!AH19"")"),503200)</f>
        <v>503200</v>
      </c>
      <c r="N65" s="230">
        <f ca="1">IFERROR(__xludf.DUMMYFUNCTION("IMPORTRANGE(""https://docs.google.com/spreadsheets/d/1-uDff_7J0KD5mKrp0Vvzr7lt3OU09vwQwhkpOPPYv2Y/edit?usp=sharing"",""งบพรบ!AJ19"")"),285487.77)</f>
        <v>285487.77</v>
      </c>
      <c r="O65" s="230">
        <f t="shared" ca="1" si="30"/>
        <v>56.734453497615263</v>
      </c>
      <c r="P65" s="230">
        <f t="shared" ca="1" si="31"/>
        <v>56.734453497615263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IFERROR(__xludf.DUMMYFUNCTION("IMPORTRANGE(""https://docs.google.com/spreadsheets/d/1-uDff_7J0KD5mKrp0Vvzr7lt3OU09vwQwhkpOPPYv2Y/edit?usp=sharing"",""งบพรบ!AF19"")"),0)</f>
        <v>0</v>
      </c>
      <c r="M68" s="461">
        <f ca="1">IFERROR(__xludf.DUMMYFUNCTION("IMPORTRANGE(""https://docs.google.com/spreadsheets/d/1-uDff_7J0KD5mKrp0Vvzr7lt3OU09vwQwhkpOPPYv2Y/edit?usp=sharing"",""งบพรบ!AI19"")"),0)</f>
        <v>0</v>
      </c>
      <c r="N68" s="461">
        <f ca="1">IFERROR(__xludf.DUMMYFUNCTION("IMPORTRANGE(""https://docs.google.com/spreadsheets/d/1-uDff_7J0KD5mKrp0Vvzr7lt3OU09vwQwhkpOPPYv2Y/edit?usp=sharing"",""งบพรบ!AK19"")"),0)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1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40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90000</v>
      </c>
      <c r="M73" s="515">
        <f t="shared" ca="1" si="43"/>
        <v>90000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447900</v>
      </c>
      <c r="R73" s="515">
        <f t="shared" ca="1" si="46"/>
        <v>447900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90000</v>
      </c>
      <c r="M75" s="230">
        <f t="shared" ca="1" si="49"/>
        <v>90000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447900</v>
      </c>
      <c r="R75" s="230">
        <f t="shared" ca="1" si="50"/>
        <v>447900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90000</v>
      </c>
      <c r="M76" s="230">
        <f t="shared" ca="1" si="51"/>
        <v>90000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447900</v>
      </c>
      <c r="R76" s="230">
        <f t="shared" ca="1" si="52"/>
        <v>447900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IFERROR(__xludf.DUMMYFUNCTION("IMPORTRANGE(""https://docs.google.com/spreadsheets/d/1-uDff_7J0KD5mKrp0Vvzr7lt3OU09vwQwhkpOPPYv2Y/edit?usp=sharing"",""งบพรบ!AM19"")"),90000)</f>
        <v>90000</v>
      </c>
      <c r="M78" s="230">
        <f ca="1">IFERROR(__xludf.DUMMYFUNCTION("IMPORTRANGE(""https://docs.google.com/spreadsheets/d/1-uDff_7J0KD5mKrp0Vvzr7lt3OU09vwQwhkpOPPYv2Y/edit?usp=sharing"",""งบพรบ!AR19"")"),90000)</f>
        <v>90000</v>
      </c>
      <c r="N78" s="230">
        <f ca="1">IFERROR(__xludf.DUMMYFUNCTION("IMPORTRANGE(""https://docs.google.com/spreadsheets/d/1-uDff_7J0KD5mKrp0Vvzr7lt3OU09vwQwhkpOPPYv2Y/edit?usp=sharing"",""งบพรบ!AT19"")"),0)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IFERROR(__xludf.DUMMYFUNCTION("IMPORTRANGE(""https://docs.google.com/spreadsheets/d/1ItG2mGa2ceCfYo0BwxsXqNm01IGEUdYcSSLTEv9YCik/edit?usp=sharing"",""เบิกจ่ายกองทุน!AS19"")"),447900)</f>
        <v>447900</v>
      </c>
      <c r="R78" s="230">
        <f ca="1">IFERROR(__xludf.DUMMYFUNCTION("IMPORTRANGE(""https://docs.google.com/spreadsheets/d/1ItG2mGa2ceCfYo0BwxsXqNm01IGEUdYcSSLTEv9YCik/edit?usp=sharing"",""เบิกจ่ายกองทุน!AT19"")"),447900)</f>
        <v>447900</v>
      </c>
      <c r="S78" s="230">
        <f ca="1">IFERROR(__xludf.DUMMYFUNCTION("IMPORTRANGE(""https://docs.google.com/spreadsheets/d/1ItG2mGa2ceCfYo0BwxsXqNm01IGEUdYcSSLTEv9YCik/edit?usp=sharing"",""เบิกจ่ายกองทุน!AU19"")"),0)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IFERROR(__xludf.DUMMYFUNCTION("IMPORTRANGE(""https://docs.google.com/spreadsheets/d/1-uDff_7J0KD5mKrp0Vvzr7lt3OU09vwQwhkpOPPYv2Y/edit?usp=sharing"",""งบพรบ!AP19"")"),0)</f>
        <v>0</v>
      </c>
      <c r="M81" s="230">
        <f ca="1">IFERROR(__xludf.DUMMYFUNCTION("IMPORTRANGE(""https://docs.google.com/spreadsheets/d/1-uDff_7J0KD5mKrp0Vvzr7lt3OU09vwQwhkpOPPYv2Y/edit?usp=sharing"",""งบพรบ!AS19"")"),0)</f>
        <v>0</v>
      </c>
      <c r="N81" s="230">
        <f ca="1">IFERROR(__xludf.DUMMYFUNCTION("IMPORTRANGE(""https://docs.google.com/spreadsheets/d/1-uDff_7J0KD5mKrp0Vvzr7lt3OU09vwQwhkpOPPYv2Y/edit?usp=sharing"",""งบพรบ!AU19"")"),0)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1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40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IFERROR(__xludf.DUMMYFUNCTION("IMPORTRANGE(""https://docs.google.com/spreadsheets/d/1eHaY18a8A9IcSdp1K8H6x8fbOy06t2VsZHhMHf-1x7Y/edit?usp=sharing"",""แผน!H19"")"),0)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IFERROR(__xludf.DUMMYFUNCTION("IMPORTRANGE(""https://docs.google.com/spreadsheets/d/1eHaY18a8A9IcSdp1K8H6x8fbOy06t2VsZHhMHf-1x7Y/edit?usp=sharing"",""แผน!I19"")"),0)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IFERROR(__xludf.DUMMYFUNCTION("IMPORTRANGE(""https://docs.google.com/spreadsheets/d/1eHaY18a8A9IcSdp1K8H6x8fbOy06t2VsZHhMHf-1x7Y/edit?usp=sharing"",""แผน!F19"")"),1)</f>
        <v>1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IFERROR(__xludf.DUMMYFUNCTION("IMPORTRANGE(""https://docs.google.com/spreadsheets/d/1eHaY18a8A9IcSdp1K8H6x8fbOy06t2VsZHhMHf-1x7Y/edit?usp=sharing"",""แผน!G19"")"),40)</f>
        <v>40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IFERROR(__xludf.DUMMYFUNCTION("IMPORTRANGE(""https://docs.google.com/spreadsheets/d/1eHaY18a8A9IcSdp1K8H6x8fbOy06t2VsZHhMHf-1x7Y/edit?usp=sharing"",""แผน!D19"")"),0)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IFERROR(__xludf.DUMMYFUNCTION("IMPORTRANGE(""https://docs.google.com/spreadsheets/d/1eHaY18a8A9IcSdp1K8H6x8fbOy06t2VsZHhMHf-1x7Y/edit?usp=sharing"",""แผน!E19"")"),0)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IFERROR(__xludf.DUMMYFUNCTION("IMPORTRANGE(""https://docs.google.com/spreadsheets/d/1eHaY18a8A9IcSdp1K8H6x8fbOy06t2VsZHhMHf-1x7Y/edit?usp=sharing"",""แผน!J19"")"),1)</f>
        <v>1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60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20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39000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129840</v>
      </c>
      <c r="R95" s="515">
        <f t="shared" ca="1" si="62"/>
        <v>129840</v>
      </c>
      <c r="S95" s="515">
        <f t="shared" ca="1" si="62"/>
        <v>44600</v>
      </c>
      <c r="T95" s="515">
        <f t="shared" ref="T95:T103" ca="1" si="63">IF(Q95&gt;0,S95*100/Q95,0)</f>
        <v>34.34996919285274</v>
      </c>
      <c r="U95" s="515">
        <f t="shared" ref="U95:U103" ca="1" si="64">IF(R95&gt;0,S95*100/R95,0)</f>
        <v>34.34996919285274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39000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129840</v>
      </c>
      <c r="R97" s="230">
        <f t="shared" ca="1" si="66"/>
        <v>129840</v>
      </c>
      <c r="S97" s="230">
        <f t="shared" ca="1" si="66"/>
        <v>44600</v>
      </c>
      <c r="T97" s="230">
        <f t="shared" ca="1" si="63"/>
        <v>34.34996919285274</v>
      </c>
      <c r="U97" s="230">
        <f t="shared" ca="1" si="64"/>
        <v>34.34996919285274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39000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129840</v>
      </c>
      <c r="R98" s="230">
        <f t="shared" ca="1" si="68"/>
        <v>129840</v>
      </c>
      <c r="S98" s="230">
        <f t="shared" ca="1" si="68"/>
        <v>44600</v>
      </c>
      <c r="T98" s="230">
        <f t="shared" ca="1" si="63"/>
        <v>34.34996919285274</v>
      </c>
      <c r="U98" s="230">
        <f t="shared" ca="1" si="64"/>
        <v>34.34996919285274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IFERROR(__xludf.DUMMYFUNCTION("IMPORTRANGE(""https://docs.google.com/spreadsheets/d/1-uDff_7J0KD5mKrp0Vvzr7lt3OU09vwQwhkpOPPYv2Y/edit?usp=sharing"",""งบพรบ!AW19"")"),0)</f>
        <v>0</v>
      </c>
      <c r="M100" s="230">
        <f ca="1">IFERROR(__xludf.DUMMYFUNCTION("IMPORTRANGE(""https://docs.google.com/spreadsheets/d/1-uDff_7J0KD5mKrp0Vvzr7lt3OU09vwQwhkpOPPYv2Y/edit?usp=sharing"",""งบพรบ!BB19"")"),39000)</f>
        <v>39000</v>
      </c>
      <c r="N100" s="230">
        <f ca="1">IFERROR(__xludf.DUMMYFUNCTION("IMPORTRANGE(""https://docs.google.com/spreadsheets/d/1-uDff_7J0KD5mKrp0Vvzr7lt3OU09vwQwhkpOPPYv2Y/edit?usp=sharing"",""งบพรบ!BD19"")"),0)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IFERROR(__xludf.DUMMYFUNCTION("IMPORTRANGE(""https://docs.google.com/spreadsheets/d/1ItG2mGa2ceCfYo0BwxsXqNm01IGEUdYcSSLTEv9YCik/edit?usp=sharing"",""เบิกจ่ายกองทุน!AD19"")"),129840)</f>
        <v>129840</v>
      </c>
      <c r="R100" s="230">
        <f ca="1">IFERROR(__xludf.DUMMYFUNCTION("IMPORTRANGE(""https://docs.google.com/spreadsheets/d/1ItG2mGa2ceCfYo0BwxsXqNm01IGEUdYcSSLTEv9YCik/edit?usp=sharing"",""เบิกจ่ายกองทุน!AE19"")"),129840)</f>
        <v>129840</v>
      </c>
      <c r="S100" s="230">
        <f ca="1">IFERROR(__xludf.DUMMYFUNCTION("IMPORTRANGE(""https://docs.google.com/spreadsheets/d/1ItG2mGa2ceCfYo0BwxsXqNm01IGEUdYcSSLTEv9YCik/edit?usp=sharing"",""เบิกจ่ายกองทุน!AF19"")"),44600)</f>
        <v>44600</v>
      </c>
      <c r="T100" s="230">
        <f t="shared" ca="1" si="63"/>
        <v>34.34996919285274</v>
      </c>
      <c r="U100" s="230">
        <f t="shared" ca="1" si="64"/>
        <v>34.34996919285274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IFERROR(__xludf.DUMMYFUNCTION("IMPORTRANGE(""https://docs.google.com/spreadsheets/d/1-uDff_7J0KD5mKrp0Vvzr7lt3OU09vwQwhkpOPPYv2Y/edit?usp=sharing"",""งบพรบ!AZ19"")"),0)</f>
        <v>0</v>
      </c>
      <c r="M103" s="230">
        <f ca="1">IFERROR(__xludf.DUMMYFUNCTION("IMPORTRANGE(""https://docs.google.com/spreadsheets/d/1-uDff_7J0KD5mKrp0Vvzr7lt3OU09vwQwhkpOPPYv2Y/edit?usp=sharing"",""งบพรบ!BC19"")"),0)</f>
        <v>0</v>
      </c>
      <c r="N103" s="230">
        <f ca="1">IFERROR(__xludf.DUMMYFUNCTION("IMPORTRANGE(""https://docs.google.com/spreadsheets/d/1-uDff_7J0KD5mKrp0Vvzr7lt3OU09vwQwhkpOPPYv2Y/edit?usp=sharing"",""งบพรบ!BE19"")"),0)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IFERROR(__xludf.DUMMYFUNCTION("IMPORTRANGE(""https://docs.google.com/spreadsheets/d/1eHaY18a8A9IcSdp1K8H6x8fbOy06t2VsZHhMHf-1x7Y/edit?usp=sharing"",""แผน!N19"")"),60)</f>
        <v>60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IFERROR(__xludf.DUMMYFUNCTION("IMPORTRANGE(""https://docs.google.com/spreadsheets/d/1eHaY18a8A9IcSdp1K8H6x8fbOy06t2VsZHhMHf-1x7Y/edit?usp=sharing"",""แผน!O19"")"),20)</f>
        <v>20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IFERROR(__xludf.DUMMYFUNCTION("IMPORTRANGE(""https://docs.google.com/spreadsheets/d/1eHaY18a8A9IcSdp1K8H6x8fbOy06t2VsZHhMHf-1x7Y/edit?usp=sharing"",""แผน!S19"")"),0)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IFERROR(__xludf.DUMMYFUNCTION("IMPORTRANGE(""https://docs.google.com/spreadsheets/d/1eHaY18a8A9IcSdp1K8H6x8fbOy06t2VsZHhMHf-1x7Y/edit?usp=sharing"",""แผน!R19"")"),20)</f>
        <v>20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50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2605520</v>
      </c>
      <c r="R118" s="515">
        <f t="shared" ca="1" si="77"/>
        <v>2605520</v>
      </c>
      <c r="S118" s="515">
        <f t="shared" ca="1" si="77"/>
        <v>13000</v>
      </c>
      <c r="T118" s="515">
        <f t="shared" ref="T118:T126" ca="1" si="78">IF(Q118&gt;0,S118*100/Q118,0)</f>
        <v>0.49894071049157174</v>
      </c>
      <c r="U118" s="515">
        <f t="shared" ref="U118:U126" ca="1" si="79">IF(R118&gt;0,S118*100/R118,0)</f>
        <v>0.49894071049157174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2605520</v>
      </c>
      <c r="R120" s="230">
        <f t="shared" ca="1" si="81"/>
        <v>2605520</v>
      </c>
      <c r="S120" s="230">
        <f t="shared" ca="1" si="81"/>
        <v>13000</v>
      </c>
      <c r="T120" s="230">
        <f t="shared" ca="1" si="78"/>
        <v>0.49894071049157174</v>
      </c>
      <c r="U120" s="230">
        <f t="shared" ca="1" si="79"/>
        <v>0.49894071049157174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2605520</v>
      </c>
      <c r="R121" s="230">
        <f t="shared" ca="1" si="83"/>
        <v>2605520</v>
      </c>
      <c r="S121" s="230">
        <f t="shared" ca="1" si="83"/>
        <v>13000</v>
      </c>
      <c r="T121" s="230">
        <f t="shared" ca="1" si="78"/>
        <v>0.49894071049157174</v>
      </c>
      <c r="U121" s="230">
        <f t="shared" ca="1" si="79"/>
        <v>0.49894071049157174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IFERROR(__xludf.DUMMYFUNCTION("IMPORTRANGE(""https://docs.google.com/spreadsheets/d/1-uDff_7J0KD5mKrp0Vvzr7lt3OU09vwQwhkpOPPYv2Y/edit?usp=sharing"",""งบพรบ!BG19"")"),0)</f>
        <v>0</v>
      </c>
      <c r="M123" s="230">
        <f ca="1">IFERROR(__xludf.DUMMYFUNCTION("IMPORTRANGE(""https://docs.google.com/spreadsheets/d/1-uDff_7J0KD5mKrp0Vvzr7lt3OU09vwQwhkpOPPYv2Y/edit?usp=sharing"",""งบพรบ!BL19"")"),0)</f>
        <v>0</v>
      </c>
      <c r="N123" s="230">
        <f ca="1">IFERROR(__xludf.DUMMYFUNCTION("IMPORTRANGE(""https://docs.google.com/spreadsheets/d/1-uDff_7J0KD5mKrp0Vvzr7lt3OU09vwQwhkpOPPYv2Y/edit?usp=sharing"",""งบพรบ!BN19"")"),0)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IFERROR(__xludf.DUMMYFUNCTION("IMPORTRANGE(""https://docs.google.com/spreadsheets/d/1ItG2mGa2ceCfYo0BwxsXqNm01IGEUdYcSSLTEv9YCik/edit?usp=sharing"",""เบิกจ่ายกองทุน!R19"")"),2605520)</f>
        <v>2605520</v>
      </c>
      <c r="R123" s="230">
        <f ca="1">IFERROR(__xludf.DUMMYFUNCTION("IMPORTRANGE(""https://docs.google.com/spreadsheets/d/1ItG2mGa2ceCfYo0BwxsXqNm01IGEUdYcSSLTEv9YCik/edit?usp=sharing"",""เบิกจ่ายกองทุน!S19"")"),2605520)</f>
        <v>2605520</v>
      </c>
      <c r="S123" s="230">
        <f ca="1">IFERROR(__xludf.DUMMYFUNCTION("IMPORTRANGE(""https://docs.google.com/spreadsheets/d/1ItG2mGa2ceCfYo0BwxsXqNm01IGEUdYcSSLTEv9YCik/edit?usp=sharing"",""เบิกจ่ายกองทุน!T19"")"),13000)</f>
        <v>13000</v>
      </c>
      <c r="T123" s="230">
        <f t="shared" ca="1" si="78"/>
        <v>0.49894071049157174</v>
      </c>
      <c r="U123" s="230">
        <f t="shared" ca="1" si="79"/>
        <v>0.49894071049157174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IFERROR(__xludf.DUMMYFUNCTION("IMPORTRANGE(""https://docs.google.com/spreadsheets/d/1-uDff_7J0KD5mKrp0Vvzr7lt3OU09vwQwhkpOPPYv2Y/edit?usp=sharing"",""งบพรบ!BJ19"")"),0)</f>
        <v>0</v>
      </c>
      <c r="M126" s="230">
        <f ca="1">IFERROR(__xludf.DUMMYFUNCTION("IMPORTRANGE(""https://docs.google.com/spreadsheets/d/1-uDff_7J0KD5mKrp0Vvzr7lt3OU09vwQwhkpOPPYv2Y/edit?usp=sharing"",""งบพรบ!BM19"")"),0)</f>
        <v>0</v>
      </c>
      <c r="N126" s="230">
        <f ca="1">IFERROR(__xludf.DUMMYFUNCTION("IMPORTRANGE(""https://docs.google.com/spreadsheets/d/1-uDff_7J0KD5mKrp0Vvzr7lt3OU09vwQwhkpOPPYv2Y/edit?usp=sharing"",""งบพรบ!BO19"")"),0)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IFERROR(__xludf.DUMMYFUNCTION("IMPORTRANGE(""https://docs.google.com/spreadsheets/d/1eHaY18a8A9IcSdp1K8H6x8fbOy06t2VsZHhMHf-1x7Y/edit?usp=sharing"",""แผน!FF19"")"),50)</f>
        <v>50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IFERROR(__xludf.DUMMYFUNCTION("IMPORTRANGE(""https://docs.google.com/spreadsheets/d/1eHaY18a8A9IcSdp1K8H6x8fbOy06t2VsZHhMHf-1x7Y/edit?usp=sharing"",""แผน!FG19"")"),0)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IFERROR(__xludf.DUMMYFUNCTION("IMPORTRANGE(""https://docs.google.com/spreadsheets/d/1eHaY18a8A9IcSdp1K8H6x8fbOy06t2VsZHhMHf-1x7Y/edit?usp=sharing"",""แผน!FH19"")"),20)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IFERROR(__xludf.DUMMYFUNCTION("IMPORTRANGE(""https://docs.google.com/spreadsheets/d/1eHaY18a8A9IcSdp1K8H6x8fbOy06t2VsZHhMHf-1x7Y/edit?usp=sharing"",""แผน!FI19"")"),0)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2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50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5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83100</v>
      </c>
      <c r="M140" s="515">
        <f t="shared" ca="1" si="90"/>
        <v>78100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83100</v>
      </c>
      <c r="M142" s="230">
        <f t="shared" ca="1" si="96"/>
        <v>78100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83100</v>
      </c>
      <c r="M143" s="230">
        <f t="shared" ca="1" si="98"/>
        <v>78100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IFERROR(__xludf.DUMMYFUNCTION("IMPORTRANGE(""https://docs.google.com/spreadsheets/d/1-uDff_7J0KD5mKrp0Vvzr7lt3OU09vwQwhkpOPPYv2Y/edit?usp=sharing"",""งบพรบ!BQ19"")"),83100)</f>
        <v>83100</v>
      </c>
      <c r="M145" s="230">
        <f ca="1">IFERROR(__xludf.DUMMYFUNCTION("IMPORTRANGE(""https://docs.google.com/spreadsheets/d/1-uDff_7J0KD5mKrp0Vvzr7lt3OU09vwQwhkpOPPYv2Y/edit?usp=sharing"",""งบพรบ!BV19"")"),78100)</f>
        <v>78100</v>
      </c>
      <c r="N145" s="230">
        <f ca="1">IFERROR(__xludf.DUMMYFUNCTION("IMPORTRANGE(""https://docs.google.com/spreadsheets/d/1-uDff_7J0KD5mKrp0Vvzr7lt3OU09vwQwhkpOPPYv2Y/edit?usp=sharing"",""งบพรบ!BX19"")"),0)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IFERROR(__xludf.DUMMYFUNCTION("IMPORTRANGE(""https://docs.google.com/spreadsheets/d/1ItG2mGa2ceCfYo0BwxsXqNm01IGEUdYcSSLTEv9YCik/edit?usp=sharing"",""เบิกจ่ายกองทุน!BB19"")"),0)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IFERROR(__xludf.DUMMYFUNCTION("IMPORTRANGE(""https://docs.google.com/spreadsheets/d/1ItG2mGa2ceCfYo0BwxsXqNm01IGEUdYcSSLTEv9YCik/edit?usp=sharing"",""เบิกจ่ายกองทุน!BC19"")"),0)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IFERROR(__xludf.DUMMYFUNCTION("IMPORTRANGE(""https://docs.google.com/spreadsheets/d/1ItG2mGa2ceCfYo0BwxsXqNm01IGEUdYcSSLTEv9YCik/edit?usp=sharing"",""เบิกจ่ายกองทุน!BD19"")"),0)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IFERROR(__xludf.DUMMYFUNCTION("IMPORTRANGE(""https://docs.google.com/spreadsheets/d/1-uDff_7J0KD5mKrp0Vvzr7lt3OU09vwQwhkpOPPYv2Y/edit?usp=sharing"",""งบพรบ!BT19"")"),0)</f>
        <v>0</v>
      </c>
      <c r="M148" s="230">
        <f ca="1">IFERROR(__xludf.DUMMYFUNCTION("IMPORTRANGE(""https://docs.google.com/spreadsheets/d/1-uDff_7J0KD5mKrp0Vvzr7lt3OU09vwQwhkpOPPYv2Y/edit?usp=sharing"",""งบพรบ!BW19"")"),0)</f>
        <v>0</v>
      </c>
      <c r="N148" s="230">
        <f ca="1">IFERROR(__xludf.DUMMYFUNCTION("IMPORTRANGE(""https://docs.google.com/spreadsheets/d/1-uDff_7J0KD5mKrp0Vvzr7lt3OU09vwQwhkpOPPYv2Y/edit?usp=sharing"",""งบพรบ!BY19"")"),0)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IFERROR(__xludf.DUMMYFUNCTION("IMPORTRANGE(""https://docs.google.com/spreadsheets/d/1eHaY18a8A9IcSdp1K8H6x8fbOy06t2VsZHhMHf-1x7Y/edit?usp=sharing"",""แผน!U19"")"),20)</f>
        <v>20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IFERROR(__xludf.DUMMYFUNCTION("IMPORTRANGE(""https://docs.google.com/spreadsheets/d/1eHaY18a8A9IcSdp1K8H6x8fbOy06t2VsZHhMHf-1x7Y/edit?usp=sharing"",""แผน!V19"")"),2)</f>
        <v>2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IFERROR(__xludf.DUMMYFUNCTION("IMPORTRANGE(""https://docs.google.com/spreadsheets/d/1eHaY18a8A9IcSdp1K8H6x8fbOy06t2VsZHhMHf-1x7Y/edit?usp=sharing"",""แผน!W19"")"),50)</f>
        <v>50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IFERROR(__xludf.DUMMYFUNCTION("IMPORTRANGE(""https://docs.google.com/spreadsheets/d/1eHaY18a8A9IcSdp1K8H6x8fbOy06t2VsZHhMHf-1x7Y/edit?usp=sharing"",""แผน!X19"")"),5)</f>
        <v>5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IFERROR(__xludf.DUMMYFUNCTION("IMPORTRANGE(""https://docs.google.com/spreadsheets/d/1eHaY18a8A9IcSdp1K8H6x8fbOy06t2VsZHhMHf-1x7Y/edit?usp=sharing"",""แผน!Y19"")"),2)</f>
        <v>2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I170</f>
        <v>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0</v>
      </c>
      <c r="M158" s="515">
        <f t="shared" ca="1" si="104"/>
        <v>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0</v>
      </c>
      <c r="M160" s="230">
        <f t="shared" ca="1" si="110"/>
        <v>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0</v>
      </c>
      <c r="M161" s="230">
        <f t="shared" ca="1" si="112"/>
        <v>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IFERROR(__xludf.DUMMYFUNCTION("IMPORTRANGE(""https://docs.google.com/spreadsheets/d/1-uDff_7J0KD5mKrp0Vvzr7lt3OU09vwQwhkpOPPYv2Y/edit?usp=sharing"",""งบพรบ!CA19"")"),0)</f>
        <v>0</v>
      </c>
      <c r="M163" s="230">
        <f ca="1">IFERROR(__xludf.DUMMYFUNCTION("IMPORTRANGE(""https://docs.google.com/spreadsheets/d/1-uDff_7J0KD5mKrp0Vvzr7lt3OU09vwQwhkpOPPYv2Y/edit?usp=sharing"",""งบพรบ!CF19"")"),0)</f>
        <v>0</v>
      </c>
      <c r="N163" s="230">
        <f ca="1">IFERROR(__xludf.DUMMYFUNCTION("IMPORTRANGE(""https://docs.google.com/spreadsheets/d/1-uDff_7J0KD5mKrp0Vvzr7lt3OU09vwQwhkpOPPYv2Y/edit?usp=sharing"",""งบพรบ!CH19"")"),0)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IFERROR(__xludf.DUMMYFUNCTION("IMPORTRANGE(""https://docs.google.com/spreadsheets/d/1ItG2mGa2ceCfYo0BwxsXqNm01IGEUdYcSSLTEv9YCik/edit?usp=sharing"",""เบิกจ่ายกองทุน!AG19"")"),0)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IFERROR(__xludf.DUMMYFUNCTION("IMPORTRANGE(""https://docs.google.com/spreadsheets/d/1ItG2mGa2ceCfYo0BwxsXqNm01IGEUdYcSSLTEv9YCik/edit?usp=sharing"",""เบิกจ่ายกองทุน!AH19"")"),0)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IFERROR(__xludf.DUMMYFUNCTION("IMPORTRANGE(""https://docs.google.com/spreadsheets/d/1ItG2mGa2ceCfYo0BwxsXqNm01IGEUdYcSSLTEv9YCik/edit?usp=sharing"",""เบิกจ่ายกองทุน!AI19"")"),0)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IFERROR(__xludf.DUMMYFUNCTION("IMPORTRANGE(""https://docs.google.com/spreadsheets/d/1-uDff_7J0KD5mKrp0Vvzr7lt3OU09vwQwhkpOPPYv2Y/edit?usp=sharing"",""งบพรบ!CD19"")"),0)</f>
        <v>0</v>
      </c>
      <c r="M166" s="230">
        <f ca="1">IFERROR(__xludf.DUMMYFUNCTION("IMPORTRANGE(""https://docs.google.com/spreadsheets/d/1-uDff_7J0KD5mKrp0Vvzr7lt3OU09vwQwhkpOPPYv2Y/edit?usp=sharing"",""งบพรบ!CG19"")"),0)</f>
        <v>0</v>
      </c>
      <c r="N166" s="230">
        <f ca="1">IFERROR(__xludf.DUMMYFUNCTION("IMPORTRANGE(""https://docs.google.com/spreadsheets/d/1-uDff_7J0KD5mKrp0Vvzr7lt3OU09vwQwhkpOPPYv2Y/edit?usp=sharing"",""งบพรบ!CI19"")"),0)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IFERROR(__xludf.DUMMYFUNCTION("IMPORTRANGE(""https://docs.google.com/spreadsheets/d/1eHaY18a8A9IcSdp1K8H6x8fbOy06t2VsZHhMHf-1x7Y/edit?usp=sharing"",""แผน!Z19"")"),0)</f>
        <v>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IFERROR(__xludf.DUMMYFUNCTION("IMPORTRANGE(""https://docs.google.com/spreadsheets/d/1eHaY18a8A9IcSdp1K8H6x8fbOy06t2VsZHhMHf-1x7Y/edit?usp=sharing"",""แผน!Z19"")"),0)</f>
        <v>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IFERROR(__xludf.DUMMYFUNCTION("IMPORTRANGE(""https://docs.google.com/spreadsheets/d/1eHaY18a8A9IcSdp1K8H6x8fbOy06t2VsZHhMHf-1x7Y/edit?usp=sharing"",""แผน!Z19"")"),0)</f>
        <v>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0</v>
      </c>
      <c r="K173" s="535">
        <f ca="1">IF(I173&gt;0,J173*100/I173,0)</f>
        <v>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228195</v>
      </c>
      <c r="N174" s="515">
        <f t="shared" ca="1" si="118"/>
        <v>185345</v>
      </c>
      <c r="O174" s="515">
        <f t="shared" ref="O174:O182" ca="1" si="119">IF(L174&gt;0,N174*100/L174,0)</f>
        <v>946.12046962736088</v>
      </c>
      <c r="P174" s="515">
        <f t="shared" ref="P174:P182" ca="1" si="120">IF(M174&gt;0,N174*100/M174,0)</f>
        <v>81.222200311137399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228195</v>
      </c>
      <c r="N176" s="230">
        <f t="shared" ca="1" si="124"/>
        <v>185345</v>
      </c>
      <c r="O176" s="230">
        <f t="shared" ca="1" si="119"/>
        <v>946.12046962736088</v>
      </c>
      <c r="P176" s="230">
        <f t="shared" ca="1" si="120"/>
        <v>81.222200311137399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228195</v>
      </c>
      <c r="N177" s="230">
        <f t="shared" ca="1" si="126"/>
        <v>185345</v>
      </c>
      <c r="O177" s="230">
        <f t="shared" ca="1" si="119"/>
        <v>946.12046962736088</v>
      </c>
      <c r="P177" s="230">
        <f t="shared" ca="1" si="120"/>
        <v>81.222200311137399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IFERROR(__xludf.DUMMYFUNCTION("IMPORTRANGE(""https://docs.google.com/spreadsheets/d/1-uDff_7J0KD5mKrp0Vvzr7lt3OU09vwQwhkpOPPYv2Y/edit?usp=sharing"",""งบพรบ!CK19"")"),19590)</f>
        <v>19590</v>
      </c>
      <c r="M179" s="230">
        <f ca="1">IFERROR(__xludf.DUMMYFUNCTION("IMPORTRANGE(""https://docs.google.com/spreadsheets/d/1-uDff_7J0KD5mKrp0Vvzr7lt3OU09vwQwhkpOPPYv2Y/edit?usp=sharing"",""งบพรบ!CP19"")"),228195)</f>
        <v>228195</v>
      </c>
      <c r="N179" s="230">
        <f ca="1">IFERROR(__xludf.DUMMYFUNCTION("IMPORTRANGE(""https://docs.google.com/spreadsheets/d/1-uDff_7J0KD5mKrp0Vvzr7lt3OU09vwQwhkpOPPYv2Y/edit?usp=sharing"",""งบพรบ!CR19"")"),185345)</f>
        <v>185345</v>
      </c>
      <c r="O179" s="230">
        <f t="shared" ca="1" si="119"/>
        <v>946.12046962736088</v>
      </c>
      <c r="P179" s="230">
        <f t="shared" ca="1" si="120"/>
        <v>81.222200311137399</v>
      </c>
      <c r="Q179" s="230">
        <f ca="1">IFERROR(__xludf.DUMMYFUNCTION("IMPORTRANGE(""https://docs.google.com/spreadsheets/d/1ItG2mGa2ceCfYo0BwxsXqNm01IGEUdYcSSLTEv9YCik/edit?usp=sharing"",""เบิกจ่ายกองทุน!BE19"")"),0)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IFERROR(__xludf.DUMMYFUNCTION("IMPORTRANGE(""https://docs.google.com/spreadsheets/d/1ItG2mGa2ceCfYo0BwxsXqNm01IGEUdYcSSLTEv9YCik/edit?usp=sharing"",""เบิกจ่ายกองทุน!BF19"")"),0)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IFERROR(__xludf.DUMMYFUNCTION("IMPORTRANGE(""https://docs.google.com/spreadsheets/d/1ItG2mGa2ceCfYo0BwxsXqNm01IGEUdYcSSLTEv9YCik/edit?usp=sharing"",""เบิกจ่ายกองทุน!BG19"")"),0)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IFERROR(__xludf.DUMMYFUNCTION("IMPORTRANGE(""https://docs.google.com/spreadsheets/d/1-uDff_7J0KD5mKrp0Vvzr7lt3OU09vwQwhkpOPPYv2Y/edit?usp=sharing"",""งบพรบ!CN19"")"),0)</f>
        <v>0</v>
      </c>
      <c r="M182" s="230">
        <f ca="1">IFERROR(__xludf.DUMMYFUNCTION("IMPORTRANGE(""https://docs.google.com/spreadsheets/d/1-uDff_7J0KD5mKrp0Vvzr7lt3OU09vwQwhkpOPPYv2Y/edit?usp=sharing"",""งบพรบ!CQ19"")"),0)</f>
        <v>0</v>
      </c>
      <c r="N182" s="230">
        <f ca="1">IFERROR(__xludf.DUMMYFUNCTION("IMPORTRANGE(""https://docs.google.com/spreadsheets/d/1-uDff_7J0KD5mKrp0Vvzr7lt3OU09vwQwhkpOPPYv2Y/edit?usp=sharing"",""งบพรบ!CS19"")"),0)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IFERROR(__xludf.DUMMYFUNCTION("IMPORTRANGE(""https://docs.google.com/spreadsheets/d/1eHaY18a8A9IcSdp1K8H6x8fbOy06t2VsZHhMHf-1x7Y/edit?usp=sharing"",""แผน!AA19"")"),7)</f>
        <v>7</v>
      </c>
      <c r="J184" s="520">
        <v>0</v>
      </c>
      <c r="K184" s="230">
        <f t="shared" ref="K184:K186" ca="1" si="130">IF(I184&gt;0,J184*100/I184,0)</f>
        <v>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70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389800</v>
      </c>
      <c r="M187" s="515">
        <f t="shared" ca="1" si="132"/>
        <v>342000</v>
      </c>
      <c r="N187" s="515">
        <f t="shared" ca="1" si="132"/>
        <v>129553</v>
      </c>
      <c r="O187" s="515">
        <f t="shared" ref="O187:O195" ca="1" si="133">IF(L187&gt;0,N187*100/L187,0)</f>
        <v>33.23576192919446</v>
      </c>
      <c r="P187" s="515">
        <f t="shared" ref="P187:P195" ca="1" si="134">IF(M187&gt;0,N187*100/M187,0)</f>
        <v>37.880994152046782</v>
      </c>
      <c r="Q187" s="515">
        <f t="shared" ref="Q187:S187" ca="1" si="135">Q188+Q189</f>
        <v>212000</v>
      </c>
      <c r="R187" s="515">
        <f t="shared" ca="1" si="135"/>
        <v>212000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389800</v>
      </c>
      <c r="M189" s="230">
        <f t="shared" ca="1" si="138"/>
        <v>342000</v>
      </c>
      <c r="N189" s="230">
        <f t="shared" ca="1" si="138"/>
        <v>129553</v>
      </c>
      <c r="O189" s="230">
        <f t="shared" ca="1" si="133"/>
        <v>33.23576192919446</v>
      </c>
      <c r="P189" s="230">
        <f t="shared" ca="1" si="134"/>
        <v>37.880994152046782</v>
      </c>
      <c r="Q189" s="230">
        <f t="shared" ca="1" si="139"/>
        <v>212000</v>
      </c>
      <c r="R189" s="230">
        <f t="shared" ca="1" si="139"/>
        <v>212000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389800</v>
      </c>
      <c r="M190" s="230">
        <f t="shared" ca="1" si="140"/>
        <v>342000</v>
      </c>
      <c r="N190" s="230">
        <f t="shared" ca="1" si="140"/>
        <v>129553</v>
      </c>
      <c r="O190" s="230">
        <f t="shared" ca="1" si="133"/>
        <v>33.23576192919446</v>
      </c>
      <c r="P190" s="230">
        <f t="shared" ca="1" si="134"/>
        <v>37.880994152046782</v>
      </c>
      <c r="Q190" s="230">
        <f t="shared" ref="Q190:S190" ca="1" si="141">Q191+Q192</f>
        <v>212000</v>
      </c>
      <c r="R190" s="230">
        <f t="shared" ca="1" si="141"/>
        <v>212000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IFERROR(__xludf.DUMMYFUNCTION("IMPORTRANGE(""https://docs.google.com/spreadsheets/d/1-uDff_7J0KD5mKrp0Vvzr7lt3OU09vwQwhkpOPPYv2Y/edit?usp=sharing"",""งบพรบ!CU19"")"),389800)</f>
        <v>389800</v>
      </c>
      <c r="M192" s="230">
        <f ca="1">IFERROR(__xludf.DUMMYFUNCTION("IMPORTRANGE(""https://docs.google.com/spreadsheets/d/1-uDff_7J0KD5mKrp0Vvzr7lt3OU09vwQwhkpOPPYv2Y/edit?usp=sharing"",""งบพรบ!CZ19"")"),342000)</f>
        <v>342000</v>
      </c>
      <c r="N192" s="230">
        <f ca="1">IFERROR(__xludf.DUMMYFUNCTION("IMPORTRANGE(""https://docs.google.com/spreadsheets/d/1-uDff_7J0KD5mKrp0Vvzr7lt3OU09vwQwhkpOPPYv2Y/edit?usp=sharing"",""งบพรบ!DB19"")"),129553)</f>
        <v>129553</v>
      </c>
      <c r="O192" s="230">
        <f t="shared" ca="1" si="133"/>
        <v>33.23576192919446</v>
      </c>
      <c r="P192" s="230">
        <f t="shared" ca="1" si="134"/>
        <v>37.880994152046782</v>
      </c>
      <c r="Q192" s="230">
        <f ca="1">IFERROR(__xludf.DUMMYFUNCTION("IMPORTRANGE(""https://docs.google.com/spreadsheets/d/1ItG2mGa2ceCfYo0BwxsXqNm01IGEUdYcSSLTEv9YCik/edit?usp=sharing"",""เบิกจ่ายกองทุน!AV19"")"),212000)</f>
        <v>212000</v>
      </c>
      <c r="R192" s="230">
        <f ca="1">IFERROR(__xludf.DUMMYFUNCTION("IMPORTRANGE(""https://docs.google.com/spreadsheets/d/1ItG2mGa2ceCfYo0BwxsXqNm01IGEUdYcSSLTEv9YCik/edit?usp=sharing"",""เบิกจ่ายกองทุน!AW19"")"),212000)</f>
        <v>212000</v>
      </c>
      <c r="S192" s="230">
        <f ca="1">IFERROR(__xludf.DUMMYFUNCTION("IMPORTRANGE(""https://docs.google.com/spreadsheets/d/1ItG2mGa2ceCfYo0BwxsXqNm01IGEUdYcSSLTEv9YCik/edit?usp=sharing"",""เบิกจ่ายกองทุน!AX19"")"),0)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IFERROR(__xludf.DUMMYFUNCTION("IMPORTRANGE(""https://docs.google.com/spreadsheets/d/1-uDff_7J0KD5mKrp0Vvzr7lt3OU09vwQwhkpOPPYv2Y/edit?usp=sharing"",""งบพรบ!CX19"")"),0)</f>
        <v>0</v>
      </c>
      <c r="M195" s="230">
        <f ca="1">IFERROR(__xludf.DUMMYFUNCTION("IMPORTRANGE(""https://docs.google.com/spreadsheets/d/1-uDff_7J0KD5mKrp0Vvzr7lt3OU09vwQwhkpOPPYv2Y/edit?usp=sharing"",""งบพรบ!DA19"")"),0)</f>
        <v>0</v>
      </c>
      <c r="N195" s="230">
        <f ca="1">IFERROR(__xludf.DUMMYFUNCTION("IMPORTRANGE(""https://docs.google.com/spreadsheets/d/1-uDff_7J0KD5mKrp0Vvzr7lt3OU09vwQwhkpOPPYv2Y/edit?usp=sharing"",""งบพรบ!DC19"")"),0)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0</v>
      </c>
      <c r="K196" s="314">
        <f ca="1">IF(I196&gt;0,J196*100/I196,0)</f>
        <v>0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IFERROR(__xludf.DUMMYFUNCTION("IMPORTRANGE(""https://docs.google.com/spreadsheets/d/1eHaY18a8A9IcSdp1K8H6x8fbOy06t2VsZHhMHf-1x7Y/edit?usp=sharing"",""แผน!AB19"")"),6000)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IFERROR(__xludf.DUMMYFUNCTION("IMPORTRANGE(""https://docs.google.com/spreadsheets/d/1eHaY18a8A9IcSdp1K8H6x8fbOy06t2VsZHhMHf-1x7Y/edit?usp=sharing"",""แผน!AE19"")"),4)</f>
        <v>4</v>
      </c>
      <c r="J199" s="520">
        <v>0</v>
      </c>
      <c r="K199" s="230">
        <f ca="1">IF(I199&gt;0,J199*100/I199,0)</f>
        <v>0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3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42000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IFERROR(__xludf.DUMMYFUNCTION("IMPORTRANGE(""https://docs.google.com/spreadsheets/d/1eHaY18a8A9IcSdp1K8H6x8fbOy06t2VsZHhMHf-1x7Y/edit?usp=sharing"",""แผน!AG19"")"),3000)</f>
        <v>3000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IFERROR(__xludf.DUMMYFUNCTION("IMPORTRANGE(""https://docs.google.com/spreadsheets/d/1eHaY18a8A9IcSdp1K8H6x8fbOy06t2VsZHhMHf-1x7Y/edit?usp=sharing"",""แผน!AH19"")"),0)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IFERROR(__xludf.DUMMYFUNCTION("IMPORTRANGE(""https://docs.google.com/spreadsheets/d/1eHaY18a8A9IcSdp1K8H6x8fbOy06t2VsZHhMHf-1x7Y/edit?usp=sharing"",""แผน!AI19"")"),24000)</f>
        <v>24000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IFERROR(__xludf.DUMMYFUNCTION("IMPORTRANGE(""https://docs.google.com/spreadsheets/d/1eHaY18a8A9IcSdp1K8H6x8fbOy06t2VsZHhMHf-1x7Y/edit?usp=sharing"",""แผน!AJ19"")"),15000)</f>
        <v>15000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IFERROR(__xludf.DUMMYFUNCTION("IMPORTRANGE(""https://docs.google.com/spreadsheets/d/1eHaY18a8A9IcSdp1K8H6x8fbOy06t2VsZHhMHf-1x7Y/edit?usp=sharing"",""แผน!AK19"")"),3)</f>
        <v>3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IFERROR(__xludf.DUMMYFUNCTION("IMPORTRANGE(""https://docs.google.com/spreadsheets/d/1eHaY18a8A9IcSdp1K8H6x8fbOy06t2VsZHhMHf-1x7Y/edit?usp=sharing"",""แผน!JX19"")"),3)</f>
        <v>3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IFERROR(__xludf.DUMMYFUNCTION("IMPORTRANGE(""https://docs.google.com/spreadsheets/d/1eHaY18a8A9IcSdp1K8H6x8fbOy06t2VsZHhMHf-1x7Y/edit?usp=sharing"",""แผน!JY19"")"),1)</f>
        <v>1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IFERROR(__xludf.DUMMYFUNCTION("IMPORTRANGE(""https://docs.google.com/spreadsheets/d/1eHaY18a8A9IcSdp1K8H6x8fbOy06t2VsZHhMHf-1x7Y/edit?usp=sharing"",""แผน!AM19"")"),0)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IFERROR(__xludf.DUMMYFUNCTION("IMPORTRANGE(""https://docs.google.com/spreadsheets/d/1eHaY18a8A9IcSdp1K8H6x8fbOy06t2VsZHhMHf-1x7Y/edit?usp=sharing"",""แผน!AN19"")"),0)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IFERROR(__xludf.DUMMYFUNCTION("IMPORTRANGE(""https://docs.google.com/spreadsheets/d/1eHaY18a8A9IcSdp1K8H6x8fbOy06t2VsZHhMHf-1x7Y/edit?usp=sharing"",""แผน!AO19"")"),0)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IFERROR(__xludf.DUMMYFUNCTION("IMPORTRANGE(""https://docs.google.com/spreadsheets/d/1eHaY18a8A9IcSdp1K8H6x8fbOy06t2VsZHhMHf-1x7Y/edit?usp=sharing"",""แผน!AP19"")"),0)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IFERROR(__xludf.DUMMYFUNCTION("IMPORTRANGE(""https://docs.google.com/spreadsheets/d/1eHaY18a8A9IcSdp1K8H6x8fbOy06t2VsZHhMHf-1x7Y/edit?usp=sharing"",""แผน!AP19"")"),0)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50000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8500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IFERROR(__xludf.DUMMYFUNCTION("IMPORTRANGE(""https://docs.google.com/spreadsheets/d/1eHaY18a8A9IcSdp1K8H6x8fbOy06t2VsZHhMHf-1x7Y/edit?usp=sharing"",""แผน!AR19"")"),7000)</f>
        <v>7000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IFERROR(__xludf.DUMMYFUNCTION("IMPORTRANGE(""https://docs.google.com/spreadsheets/d/1eHaY18a8A9IcSdp1K8H6x8fbOy06t2VsZHhMHf-1x7Y/edit?usp=sharing"",""แผน!AS19"")"),1500)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IFERROR(__xludf.DUMMYFUNCTION("IMPORTRANGE(""https://docs.google.com/spreadsheets/d/1eHaY18a8A9IcSdp1K8H6x8fbOy06t2VsZHhMHf-1x7Y/edit?usp=sharing"",""แผน!AT19"")"),0)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IFERROR(__xludf.DUMMYFUNCTION("IMPORTRANGE(""https://docs.google.com/spreadsheets/d/1eHaY18a8A9IcSdp1K8H6x8fbOy06t2VsZHhMHf-1x7Y/edit?usp=sharing"",""แผน!AV19"")"),50000)</f>
        <v>50000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IFERROR(__xludf.DUMMYFUNCTION("IMPORTRANGE(""https://docs.google.com/spreadsheets/d/1eHaY18a8A9IcSdp1K8H6x8fbOy06t2VsZHhMHf-1x7Y/edit?usp=sharing"",""แผน!AV19"")"),50000)</f>
        <v>50000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IFERROR(__xludf.DUMMYFUNCTION("IMPORTRANGE(""https://docs.google.com/spreadsheets/d/1eHaY18a8A9IcSdp1K8H6x8fbOy06t2VsZHhMHf-1x7Y/edit?usp=sharing"",""แผน!AU19"")"),0)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722"/>
      <c r="B232" s="723"/>
      <c r="C232" s="545" t="s">
        <v>105</v>
      </c>
      <c r="D232" s="724"/>
      <c r="E232" s="724"/>
      <c r="F232" s="724"/>
      <c r="G232" s="725"/>
      <c r="H232" s="546" t="s">
        <v>35</v>
      </c>
      <c r="I232" s="547">
        <f t="shared" ref="I232:J232" ca="1" si="151">I243+I254</f>
        <v>70</v>
      </c>
      <c r="J232" s="547">
        <f t="shared" si="151"/>
        <v>0</v>
      </c>
      <c r="K232" s="548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584"/>
      <c r="B233" s="585"/>
      <c r="C233" s="549" t="s">
        <v>18</v>
      </c>
      <c r="D233" s="550" t="s">
        <v>19</v>
      </c>
      <c r="E233" s="585"/>
      <c r="F233" s="585"/>
      <c r="G233" s="586"/>
      <c r="H233" s="384" t="s">
        <v>14</v>
      </c>
      <c r="I233" s="597"/>
      <c r="J233" s="597"/>
      <c r="K233" s="598"/>
      <c r="L233" s="543">
        <f t="shared" ref="L233:L237" ca="1" si="152">L244+L255</f>
        <v>242300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584"/>
      <c r="B234" s="726"/>
      <c r="C234" s="585"/>
      <c r="D234" s="542" t="s">
        <v>311</v>
      </c>
      <c r="E234" s="585"/>
      <c r="F234" s="585"/>
      <c r="G234" s="586"/>
      <c r="H234" s="157" t="s">
        <v>14</v>
      </c>
      <c r="I234" s="597"/>
      <c r="J234" s="597"/>
      <c r="K234" s="598"/>
      <c r="L234" s="483">
        <f t="shared" ca="1" si="152"/>
        <v>107000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727"/>
      <c r="B235" s="726"/>
      <c r="C235" s="726"/>
      <c r="D235" s="254" t="s">
        <v>87</v>
      </c>
      <c r="E235" s="585"/>
      <c r="F235" s="585"/>
      <c r="G235" s="586"/>
      <c r="H235" s="157" t="s">
        <v>14</v>
      </c>
      <c r="I235" s="587"/>
      <c r="J235" s="587"/>
      <c r="K235" s="588"/>
      <c r="L235" s="483">
        <f t="shared" ca="1" si="152"/>
        <v>4000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727"/>
      <c r="B236" s="726"/>
      <c r="C236" s="726"/>
      <c r="D236" s="254" t="s">
        <v>88</v>
      </c>
      <c r="E236" s="585"/>
      <c r="F236" s="585"/>
      <c r="G236" s="586"/>
      <c r="H236" s="157" t="s">
        <v>14</v>
      </c>
      <c r="I236" s="587"/>
      <c r="J236" s="587"/>
      <c r="K236" s="588"/>
      <c r="L236" s="483">
        <f t="shared" ca="1" si="152"/>
        <v>47300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727"/>
      <c r="B237" s="726"/>
      <c r="C237" s="726"/>
      <c r="D237" s="254" t="s">
        <v>89</v>
      </c>
      <c r="E237" s="585"/>
      <c r="F237" s="585"/>
      <c r="G237" s="586"/>
      <c r="H237" s="157" t="s">
        <v>14</v>
      </c>
      <c r="I237" s="587"/>
      <c r="J237" s="587"/>
      <c r="K237" s="588"/>
      <c r="L237" s="483">
        <f t="shared" ca="1" si="152"/>
        <v>84000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728"/>
      <c r="B238" s="729"/>
      <c r="C238" s="551" t="s">
        <v>18</v>
      </c>
      <c r="D238" s="552" t="s">
        <v>38</v>
      </c>
      <c r="E238" s="730"/>
      <c r="F238" s="730"/>
      <c r="G238" s="731"/>
      <c r="H238" s="732"/>
      <c r="I238" s="597"/>
      <c r="J238" s="587"/>
      <c r="K238" s="588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728"/>
      <c r="B239" s="729"/>
      <c r="C239" s="729"/>
      <c r="D239" s="180" t="s">
        <v>108</v>
      </c>
      <c r="E239" s="733"/>
      <c r="F239" s="733"/>
      <c r="G239" s="732"/>
      <c r="H239" s="553" t="s">
        <v>35</v>
      </c>
      <c r="I239" s="444">
        <f t="shared" ref="I239:J239" ca="1" si="154">I250+I261</f>
        <v>70</v>
      </c>
      <c r="J239" s="444">
        <f t="shared" si="154"/>
        <v>0</v>
      </c>
      <c r="K239" s="8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728"/>
      <c r="B240" s="729"/>
      <c r="C240" s="729"/>
      <c r="D240" s="554" t="s">
        <v>43</v>
      </c>
      <c r="E240" s="733"/>
      <c r="F240" s="733"/>
      <c r="G240" s="732"/>
      <c r="H240" s="732"/>
      <c r="I240" s="587"/>
      <c r="J240" s="587"/>
      <c r="K240" s="588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728"/>
      <c r="B241" s="729"/>
      <c r="C241" s="729"/>
      <c r="D241" s="729"/>
      <c r="E241" s="555" t="s">
        <v>109</v>
      </c>
      <c r="F241" s="733"/>
      <c r="G241" s="732"/>
      <c r="H241" s="553" t="s">
        <v>35</v>
      </c>
      <c r="I241" s="444">
        <f t="shared" ref="I241:J242" ca="1" si="155">I252+I263</f>
        <v>70</v>
      </c>
      <c r="J241" s="444">
        <f t="shared" si="155"/>
        <v>0</v>
      </c>
      <c r="K241" s="80">
        <f t="shared" ref="K241:K243" ca="1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728"/>
      <c r="B242" s="729"/>
      <c r="C242" s="729"/>
      <c r="D242" s="729"/>
      <c r="E242" s="555" t="s">
        <v>110</v>
      </c>
      <c r="F242" s="733"/>
      <c r="G242" s="732"/>
      <c r="H242" s="553" t="s">
        <v>61</v>
      </c>
      <c r="I242" s="444">
        <f t="shared" ca="1" si="155"/>
        <v>2</v>
      </c>
      <c r="J242" s="444">
        <f t="shared" si="155"/>
        <v>0</v>
      </c>
      <c r="K242" s="80">
        <f t="shared" ca="1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x14ac:dyDescent="0.3">
      <c r="A243" s="734"/>
      <c r="B243" s="735"/>
      <c r="C243" s="736" t="s">
        <v>317</v>
      </c>
      <c r="D243" s="737"/>
      <c r="E243" s="737"/>
      <c r="F243" s="737"/>
      <c r="G243" s="738"/>
      <c r="H243" s="739" t="s">
        <v>35</v>
      </c>
      <c r="I243" s="740">
        <f t="shared" ref="I243:J243" ca="1" si="157">I250</f>
        <v>30</v>
      </c>
      <c r="J243" s="740">
        <f t="shared" si="157"/>
        <v>0</v>
      </c>
      <c r="K243" s="741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x14ac:dyDescent="0.3">
      <c r="A244" s="574"/>
      <c r="B244" s="575"/>
      <c r="C244" s="576" t="s">
        <v>18</v>
      </c>
      <c r="D244" s="577" t="s">
        <v>19</v>
      </c>
      <c r="E244" s="575"/>
      <c r="F244" s="575"/>
      <c r="G244" s="578"/>
      <c r="H244" s="742" t="s">
        <v>14</v>
      </c>
      <c r="I244" s="595"/>
      <c r="J244" s="595"/>
      <c r="K244" s="596"/>
      <c r="L244" s="514">
        <f ca="1">L245+L246+L247+L248</f>
        <v>56300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x14ac:dyDescent="0.25">
      <c r="A245" s="574"/>
      <c r="B245" s="658"/>
      <c r="C245" s="575"/>
      <c r="D245" s="542" t="s">
        <v>311</v>
      </c>
      <c r="E245" s="575"/>
      <c r="F245" s="575"/>
      <c r="G245" s="578"/>
      <c r="H245" s="594" t="s">
        <v>14</v>
      </c>
      <c r="I245" s="595"/>
      <c r="J245" s="595"/>
      <c r="K245" s="596"/>
      <c r="L245" s="481">
        <f ca="1">IFERROR(__xludf.DUMMYFUNCTION("IMPORTRANGE(""https://docs.google.com/spreadsheets/d/1eHaY18a8A9IcSdp1K8H6x8fbOy06t2VsZHhMHf-1x7Y/edit?usp=sharing"",""แผน!AX19"")"),8000)</f>
        <v>8000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x14ac:dyDescent="0.25">
      <c r="A246" s="743"/>
      <c r="B246" s="658"/>
      <c r="C246" s="658"/>
      <c r="D246" s="254" t="s">
        <v>87</v>
      </c>
      <c r="E246" s="575"/>
      <c r="F246" s="575"/>
      <c r="G246" s="578"/>
      <c r="H246" s="594" t="s">
        <v>14</v>
      </c>
      <c r="I246" s="580"/>
      <c r="J246" s="580"/>
      <c r="K246" s="581"/>
      <c r="L246" s="481">
        <f ca="1">IFERROR(__xludf.DUMMYFUNCTION("IMPORTRANGE(""https://docs.google.com/spreadsheets/d/1eHaY18a8A9IcSdp1K8H6x8fbOy06t2VsZHhMHf-1x7Y/edit?usp=sharing"",""แผน!AY19"")"),2000)</f>
        <v>2000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x14ac:dyDescent="0.25">
      <c r="A247" s="743"/>
      <c r="B247" s="658"/>
      <c r="C247" s="658"/>
      <c r="D247" s="254" t="s">
        <v>88</v>
      </c>
      <c r="E247" s="575"/>
      <c r="F247" s="575"/>
      <c r="G247" s="578"/>
      <c r="H247" s="594" t="s">
        <v>14</v>
      </c>
      <c r="I247" s="580"/>
      <c r="J247" s="580"/>
      <c r="K247" s="581"/>
      <c r="L247" s="481">
        <f ca="1">IFERROR(__xludf.DUMMYFUNCTION("IMPORTRANGE(""https://docs.google.com/spreadsheets/d/1eHaY18a8A9IcSdp1K8H6x8fbOy06t2VsZHhMHf-1x7Y/edit?usp=sharing"",""แผน!AZ19"")"),15300)</f>
        <v>15300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x14ac:dyDescent="0.25">
      <c r="A248" s="743"/>
      <c r="B248" s="658"/>
      <c r="C248" s="658"/>
      <c r="D248" s="254" t="s">
        <v>89</v>
      </c>
      <c r="E248" s="575"/>
      <c r="F248" s="575"/>
      <c r="G248" s="578"/>
      <c r="H248" s="594" t="s">
        <v>14</v>
      </c>
      <c r="I248" s="580"/>
      <c r="J248" s="580"/>
      <c r="K248" s="581"/>
      <c r="L248" s="481">
        <f ca="1">IFERROR(__xludf.DUMMYFUNCTION("IMPORTRANGE(""https://docs.google.com/spreadsheets/d/1eHaY18a8A9IcSdp1K8H6x8fbOy06t2VsZHhMHf-1x7Y/edit?usp=sharing"",""แผน!BA19"")"),31000)</f>
        <v>31000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x14ac:dyDescent="0.3">
      <c r="A249" s="600"/>
      <c r="B249" s="601"/>
      <c r="C249" s="744" t="s">
        <v>18</v>
      </c>
      <c r="D249" s="602" t="s">
        <v>38</v>
      </c>
      <c r="E249" s="567"/>
      <c r="F249" s="567"/>
      <c r="G249" s="568"/>
      <c r="H249" s="603"/>
      <c r="I249" s="595"/>
      <c r="J249" s="580"/>
      <c r="K249" s="581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x14ac:dyDescent="0.25">
      <c r="A250" s="600"/>
      <c r="B250" s="601"/>
      <c r="C250" s="601"/>
      <c r="D250" s="709" t="s">
        <v>108</v>
      </c>
      <c r="E250" s="707"/>
      <c r="F250" s="707"/>
      <c r="G250" s="603"/>
      <c r="H250" s="745" t="s">
        <v>35</v>
      </c>
      <c r="I250" s="661">
        <f ca="1">IFERROR(__xludf.DUMMYFUNCTION("IMPORTRANGE(""https://docs.google.com/spreadsheets/d/1eHaY18a8A9IcSdp1K8H6x8fbOy06t2VsZHhMHf-1x7Y/edit?usp=sharing"",""แผน!BG19"")"),30)</f>
        <v>30</v>
      </c>
      <c r="J250" s="705">
        <v>0</v>
      </c>
      <c r="K250" s="592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x14ac:dyDescent="0.25">
      <c r="A251" s="600"/>
      <c r="B251" s="601"/>
      <c r="C251" s="601"/>
      <c r="D251" s="746" t="s">
        <v>43</v>
      </c>
      <c r="E251" s="707"/>
      <c r="F251" s="707"/>
      <c r="G251" s="603"/>
      <c r="H251" s="603"/>
      <c r="I251" s="580"/>
      <c r="J251" s="580"/>
      <c r="K251" s="581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x14ac:dyDescent="0.25">
      <c r="A252" s="600"/>
      <c r="B252" s="601"/>
      <c r="C252" s="601"/>
      <c r="D252" s="601"/>
      <c r="E252" s="747" t="s">
        <v>109</v>
      </c>
      <c r="F252" s="707"/>
      <c r="G252" s="603"/>
      <c r="H252" s="745" t="s">
        <v>35</v>
      </c>
      <c r="I252" s="661">
        <f ca="1">IFERROR(__xludf.DUMMYFUNCTION("IMPORTRANGE(""https://docs.google.com/spreadsheets/d/1eHaY18a8A9IcSdp1K8H6x8fbOy06t2VsZHhMHf-1x7Y/edit?usp=sharing"",""แผน!kv19"")"),30)</f>
        <v>30</v>
      </c>
      <c r="J252" s="705">
        <v>0</v>
      </c>
      <c r="K252" s="592">
        <f t="shared" ref="K252:K254" ca="1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x14ac:dyDescent="0.25">
      <c r="A253" s="600"/>
      <c r="B253" s="601"/>
      <c r="C253" s="601"/>
      <c r="D253" s="601"/>
      <c r="E253" s="747" t="s">
        <v>110</v>
      </c>
      <c r="F253" s="707"/>
      <c r="G253" s="603"/>
      <c r="H253" s="745" t="s">
        <v>35</v>
      </c>
      <c r="I253" s="661">
        <f ca="1">IFERROR(__xludf.DUMMYFUNCTION("IMPORTRANGE(""https://docs.google.com/spreadsheets/d/1eHaY18a8A9IcSdp1K8H6x8fbOy06t2VsZHhMHf-1x7Y/edit?usp=sharing"",""แผน!kw19"")"),1)</f>
        <v>1</v>
      </c>
      <c r="J253" s="705">
        <v>0</v>
      </c>
      <c r="K253" s="592">
        <f t="shared" ca="1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x14ac:dyDescent="0.3">
      <c r="A254" s="734"/>
      <c r="B254" s="735"/>
      <c r="C254" s="736" t="s">
        <v>318</v>
      </c>
      <c r="D254" s="737"/>
      <c r="E254" s="737"/>
      <c r="F254" s="737"/>
      <c r="G254" s="738"/>
      <c r="H254" s="739" t="s">
        <v>35</v>
      </c>
      <c r="I254" s="740">
        <f t="shared" ref="I254:J254" ca="1" si="159">I261</f>
        <v>40</v>
      </c>
      <c r="J254" s="740">
        <f t="shared" si="159"/>
        <v>0</v>
      </c>
      <c r="K254" s="741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x14ac:dyDescent="0.3">
      <c r="A255" s="574"/>
      <c r="B255" s="575"/>
      <c r="C255" s="576" t="s">
        <v>18</v>
      </c>
      <c r="D255" s="755" t="s">
        <v>19</v>
      </c>
      <c r="E255" s="575"/>
      <c r="F255" s="575"/>
      <c r="G255" s="578"/>
      <c r="H255" s="742" t="s">
        <v>14</v>
      </c>
      <c r="I255" s="595"/>
      <c r="J255" s="595"/>
      <c r="K255" s="596"/>
      <c r="L255" s="514">
        <f ca="1">L256+L257+L258+L259</f>
        <v>186000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x14ac:dyDescent="0.25">
      <c r="A256" s="574"/>
      <c r="B256" s="658"/>
      <c r="C256" s="575"/>
      <c r="D256" s="542" t="s">
        <v>311</v>
      </c>
      <c r="E256" s="575"/>
      <c r="F256" s="575"/>
      <c r="G256" s="578"/>
      <c r="H256" s="594" t="s">
        <v>14</v>
      </c>
      <c r="I256" s="595"/>
      <c r="J256" s="595"/>
      <c r="K256" s="596"/>
      <c r="L256" s="481">
        <f ca="1">IFERROR(__xludf.DUMMYFUNCTION("IMPORTRANGE(""https://docs.google.com/spreadsheets/d/1eHaY18a8A9IcSdp1K8H6x8fbOy06t2VsZHhMHf-1x7Y/edit?usp=sharing"",""แผน!BB19"")"),99000)</f>
        <v>99000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x14ac:dyDescent="0.25">
      <c r="A257" s="743"/>
      <c r="B257" s="658"/>
      <c r="C257" s="658"/>
      <c r="D257" s="254" t="s">
        <v>87</v>
      </c>
      <c r="E257" s="575"/>
      <c r="F257" s="575"/>
      <c r="G257" s="578"/>
      <c r="H257" s="594" t="s">
        <v>14</v>
      </c>
      <c r="I257" s="580"/>
      <c r="J257" s="580"/>
      <c r="K257" s="581"/>
      <c r="L257" s="481">
        <f ca="1">IFERROR(__xludf.DUMMYFUNCTION("IMPORTRANGE(""https://docs.google.com/spreadsheets/d/1eHaY18a8A9IcSdp1K8H6x8fbOy06t2VsZHhMHf-1x7Y/edit?usp=sharing"",""แผน!BC19"")"),2000)</f>
        <v>2000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x14ac:dyDescent="0.25">
      <c r="A258" s="743"/>
      <c r="B258" s="658"/>
      <c r="C258" s="658"/>
      <c r="D258" s="254" t="s">
        <v>88</v>
      </c>
      <c r="E258" s="575"/>
      <c r="F258" s="575"/>
      <c r="G258" s="578"/>
      <c r="H258" s="594" t="s">
        <v>14</v>
      </c>
      <c r="I258" s="580"/>
      <c r="J258" s="580"/>
      <c r="K258" s="581"/>
      <c r="L258" s="481">
        <f ca="1">IFERROR(__xludf.DUMMYFUNCTION("IMPORTRANGE(""https://docs.google.com/spreadsheets/d/1eHaY18a8A9IcSdp1K8H6x8fbOy06t2VsZHhMHf-1x7Y/edit?usp=sharing"",""แผน!BD19"")"),32000)</f>
        <v>32000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x14ac:dyDescent="0.25">
      <c r="A259" s="743"/>
      <c r="B259" s="658"/>
      <c r="C259" s="658"/>
      <c r="D259" s="254" t="s">
        <v>89</v>
      </c>
      <c r="E259" s="575"/>
      <c r="F259" s="575"/>
      <c r="G259" s="578"/>
      <c r="H259" s="594" t="s">
        <v>14</v>
      </c>
      <c r="I259" s="580"/>
      <c r="J259" s="580"/>
      <c r="K259" s="581"/>
      <c r="L259" s="481">
        <f ca="1">IFERROR(__xludf.DUMMYFUNCTION("IMPORTRANGE(""https://docs.google.com/spreadsheets/d/1eHaY18a8A9IcSdp1K8H6x8fbOy06t2VsZHhMHf-1x7Y/edit?usp=sharing"",""แผน!BE19"")"),53000)</f>
        <v>53000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x14ac:dyDescent="0.3">
      <c r="A260" s="600"/>
      <c r="B260" s="601"/>
      <c r="C260" s="744" t="s">
        <v>18</v>
      </c>
      <c r="D260" s="602" t="s">
        <v>38</v>
      </c>
      <c r="E260" s="567"/>
      <c r="F260" s="567"/>
      <c r="G260" s="568"/>
      <c r="H260" s="603"/>
      <c r="I260" s="595"/>
      <c r="J260" s="580"/>
      <c r="K260" s="581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x14ac:dyDescent="0.25">
      <c r="A261" s="600"/>
      <c r="B261" s="601"/>
      <c r="C261" s="601"/>
      <c r="D261" s="709" t="s">
        <v>108</v>
      </c>
      <c r="E261" s="707"/>
      <c r="F261" s="707"/>
      <c r="G261" s="603"/>
      <c r="H261" s="745" t="s">
        <v>35</v>
      </c>
      <c r="I261" s="661">
        <f ca="1">IFERROR(__xludf.DUMMYFUNCTION("IMPORTRANGE(""https://docs.google.com/spreadsheets/d/1eHaY18a8A9IcSdp1K8H6x8fbOy06t2VsZHhMHf-1x7Y/edit?usp=sharing"",""แผน!BH19"")"),40)</f>
        <v>40</v>
      </c>
      <c r="J261" s="705">
        <v>0</v>
      </c>
      <c r="K261" s="592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x14ac:dyDescent="0.25">
      <c r="A262" s="600"/>
      <c r="B262" s="601"/>
      <c r="C262" s="601"/>
      <c r="D262" s="746" t="s">
        <v>43</v>
      </c>
      <c r="E262" s="707"/>
      <c r="F262" s="707"/>
      <c r="G262" s="603"/>
      <c r="H262" s="603"/>
      <c r="I262" s="580"/>
      <c r="J262" s="580"/>
      <c r="K262" s="581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x14ac:dyDescent="0.25">
      <c r="A263" s="600"/>
      <c r="B263" s="601"/>
      <c r="C263" s="601"/>
      <c r="D263" s="601"/>
      <c r="E263" s="747" t="s">
        <v>109</v>
      </c>
      <c r="F263" s="707"/>
      <c r="G263" s="603"/>
      <c r="H263" s="745" t="s">
        <v>35</v>
      </c>
      <c r="I263" s="661">
        <f ca="1">IFERROR(__xludf.DUMMYFUNCTION("IMPORTRANGE(""https://docs.google.com/spreadsheets/d/1eHaY18a8A9IcSdp1K8H6x8fbOy06t2VsZHhMHf-1x7Y/edit?usp=sharing"",""แผน!KT19"")"),40)</f>
        <v>40</v>
      </c>
      <c r="J263" s="705">
        <v>0</v>
      </c>
      <c r="K263" s="592">
        <f t="shared" ref="K263:K264" ca="1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x14ac:dyDescent="0.25">
      <c r="A264" s="600"/>
      <c r="B264" s="601"/>
      <c r="C264" s="601"/>
      <c r="D264" s="601"/>
      <c r="E264" s="747" t="s">
        <v>110</v>
      </c>
      <c r="F264" s="707"/>
      <c r="G264" s="603"/>
      <c r="H264" s="745" t="s">
        <v>35</v>
      </c>
      <c r="I264" s="661">
        <f ca="1">IFERROR(__xludf.DUMMYFUNCTION("IMPORTRANGE(""https://docs.google.com/spreadsheets/d/1eHaY18a8A9IcSdp1K8H6x8fbOy06t2VsZHhMHf-1x7Y/edit?usp=sharing"",""แผน!KU19"")"),1)</f>
        <v>1</v>
      </c>
      <c r="J264" s="705">
        <v>0</v>
      </c>
      <c r="K264" s="592">
        <f t="shared" ca="1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22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50660</v>
      </c>
      <c r="R267" s="583">
        <f t="shared" ca="1" si="165"/>
        <v>50660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50660</v>
      </c>
      <c r="R269" s="592">
        <f t="shared" ca="1" si="169"/>
        <v>50660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50660</v>
      </c>
      <c r="R270" s="592">
        <f t="shared" ca="1" si="171"/>
        <v>50660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IFERROR(__xludf.DUMMYFUNCTION("IMPORTRANGE(""https://docs.google.com/spreadsheets/d/1-uDff_7J0KD5mKrp0Vvzr7lt3OU09vwQwhkpOPPYv2Y/edit?usp=sharing"",""งบพรบ!DE19"")"),0)</f>
        <v>0</v>
      </c>
      <c r="M272" s="592">
        <f ca="1">IFERROR(__xludf.DUMMYFUNCTION("IMPORTRANGE(""https://docs.google.com/spreadsheets/d/1-uDff_7J0KD5mKrp0Vvzr7lt3OU09vwQwhkpOPPYv2Y/edit?usp=sharing"",""งบพรบ!DJ19"")"),5000)</f>
        <v>5000</v>
      </c>
      <c r="N272" s="592">
        <f ca="1">IFERROR(__xludf.DUMMYFUNCTION("IMPORTRANGE(""https://docs.google.com/spreadsheets/d/1-uDff_7J0KD5mKrp0Vvzr7lt3OU09vwQwhkpOPPYv2Y/edit?usp=sharing"",""งบพรบ!DL19"")"),0)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IFERROR(__xludf.DUMMYFUNCTION("IMPORTRANGE(""https://docs.google.com/spreadsheets/d/1ItG2mGa2ceCfYo0BwxsXqNm01IGEUdYcSSLTEv9YCik/edit?usp=sharing"",""เบิกจ่ายกองทุน!AJ19"")"),50660)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IFERROR(__xludf.DUMMYFUNCTION("IMPORTRANGE(""https://docs.google.com/spreadsheets/d/1ItG2mGa2ceCfYo0BwxsXqNm01IGEUdYcSSLTEv9YCik/edit?usp=sharing"",""เบิกจ่ายกองทุน!AK19"")"),50660)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IFERROR(__xludf.DUMMYFUNCTION("IMPORTRANGE(""https://docs.google.com/spreadsheets/d/1ItG2mGa2ceCfYo0BwxsXqNm01IGEUdYcSSLTEv9YCik/edit?usp=sharing"",""เบิกจ่ายกองทุน!AL19"")"),0)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IFERROR(__xludf.DUMMYFUNCTION("IMPORTRANGE(""https://docs.google.com/spreadsheets/d/1-uDff_7J0KD5mKrp0Vvzr7lt3OU09vwQwhkpOPPYv2Y/edit?usp=sharing"",""งบพรบ!DH19"")"),0)</f>
        <v>0</v>
      </c>
      <c r="M275" s="592">
        <f ca="1">IFERROR(__xludf.DUMMYFUNCTION("IMPORTRANGE(""https://docs.google.com/spreadsheets/d/1-uDff_7J0KD5mKrp0Vvzr7lt3OU09vwQwhkpOPPYv2Y/edit?usp=sharing"",""งบพรบ!DK19"")"),0)</f>
        <v>0</v>
      </c>
      <c r="N275" s="592">
        <f ca="1">IFERROR(__xludf.DUMMYFUNCTION("IMPORTRANGE(""https://docs.google.com/spreadsheets/d/1-uDff_7J0KD5mKrp0Vvzr7lt3OU09vwQwhkpOPPYv2Y/edit?usp=sharing"",""งบพรบ!DM19"")"),0)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IFERROR(__xludf.DUMMYFUNCTION("IMPORTRANGE(""https://docs.google.com/spreadsheets/d/1eHaY18a8A9IcSdp1K8H6x8fbOy06t2VsZHhMHf-1x7Y/edit?usp=sharing"",""แผน!EC19"")"),22)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10</v>
      </c>
      <c r="J281" s="619">
        <f t="shared" si="174"/>
        <v>0</v>
      </c>
      <c r="K281" s="620">
        <f t="shared" ref="K281:K282" ca="1" si="175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100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137220</v>
      </c>
      <c r="M283" s="515">
        <f t="shared" ca="1" si="177"/>
        <v>137220</v>
      </c>
      <c r="N283" s="515">
        <f t="shared" ca="1" si="177"/>
        <v>41645.9</v>
      </c>
      <c r="O283" s="515">
        <f t="shared" ref="O283:O291" ca="1" si="178">IF(L283&gt;0,N283*100/L283,0)</f>
        <v>30.349730360005829</v>
      </c>
      <c r="P283" s="515">
        <f t="shared" ref="P283:P291" ca="1" si="179">IF(M283&gt;0,N283*100/M283,0)</f>
        <v>30.349730360005829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137220</v>
      </c>
      <c r="M285" s="230">
        <f t="shared" ca="1" si="183"/>
        <v>137220</v>
      </c>
      <c r="N285" s="230">
        <f t="shared" ca="1" si="183"/>
        <v>41645.9</v>
      </c>
      <c r="O285" s="230">
        <f t="shared" ca="1" si="178"/>
        <v>30.349730360005829</v>
      </c>
      <c r="P285" s="230">
        <f t="shared" ca="1" si="179"/>
        <v>30.349730360005829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137220</v>
      </c>
      <c r="M286" s="230">
        <f t="shared" ca="1" si="185"/>
        <v>137220</v>
      </c>
      <c r="N286" s="230">
        <f t="shared" ca="1" si="185"/>
        <v>41645.9</v>
      </c>
      <c r="O286" s="230">
        <f t="shared" ca="1" si="178"/>
        <v>30.349730360005829</v>
      </c>
      <c r="P286" s="230">
        <f t="shared" ca="1" si="179"/>
        <v>30.349730360005829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IFERROR(__xludf.DUMMYFUNCTION("IMPORTRANGE(""https://docs.google.com/spreadsheets/d/1-uDff_7J0KD5mKrp0Vvzr7lt3OU09vwQwhkpOPPYv2Y/edit?usp=sharing"",""งบพรบ!DO19"")"),137220)</f>
        <v>137220</v>
      </c>
      <c r="M288" s="230">
        <f ca="1">IFERROR(__xludf.DUMMYFUNCTION("IMPORTRANGE(""https://docs.google.com/spreadsheets/d/1-uDff_7J0KD5mKrp0Vvzr7lt3OU09vwQwhkpOPPYv2Y/edit?usp=sharing"",""งบพรบ!DT19"")"),137220)</f>
        <v>137220</v>
      </c>
      <c r="N288" s="230">
        <f ca="1">IFERROR(__xludf.DUMMYFUNCTION("IMPORTRANGE(""https://docs.google.com/spreadsheets/d/1-uDff_7J0KD5mKrp0Vvzr7lt3OU09vwQwhkpOPPYv2Y/edit?usp=sharing"",""งบพรบ!DV19"")"),41645.9)</f>
        <v>41645.9</v>
      </c>
      <c r="O288" s="230">
        <f t="shared" ca="1" si="178"/>
        <v>30.349730360005829</v>
      </c>
      <c r="P288" s="230">
        <f t="shared" ca="1" si="179"/>
        <v>30.349730360005829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IFERROR(__xludf.DUMMYFUNCTION("IMPORTRANGE(""https://docs.google.com/spreadsheets/d/1-uDff_7J0KD5mKrp0Vvzr7lt3OU09vwQwhkpOPPYv2Y/edit?usp=sharing"",""งบพรบ!DR19"")"),0)</f>
        <v>0</v>
      </c>
      <c r="M291" s="230">
        <f ca="1">IFERROR(__xludf.DUMMYFUNCTION("IMPORTRANGE(""https://docs.google.com/spreadsheets/d/1-uDff_7J0KD5mKrp0Vvzr7lt3OU09vwQwhkpOPPYv2Y/edit?usp=sharing"",""งบพรบ!DU19"")"),0)</f>
        <v>0</v>
      </c>
      <c r="N291" s="230">
        <f ca="1">IFERROR(__xludf.DUMMYFUNCTION("IMPORTRANGE(""https://docs.google.com/spreadsheets/d/1-uDff_7J0KD5mKrp0Vvzr7lt3OU09vwQwhkpOPPYv2Y/edit?usp=sharing"",""งบพรบ!DW19"")"),0)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IFERROR(__xludf.DUMMYFUNCTION("IMPORTRANGE(""https://docs.google.com/spreadsheets/d/1eHaY18a8A9IcSdp1K8H6x8fbOy06t2VsZHhMHf-1x7Y/edit?usp=sharing"",""แผน!EE19"")"),100)</f>
        <v>100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IFERROR(__xludf.DUMMYFUNCTION("IMPORTRANGE(""https://docs.google.com/spreadsheets/d/1eHaY18a8A9IcSdp1K8H6x8fbOy06t2VsZHhMHf-1x7Y/edit?usp=sharing"",""แผน!ED19"")"),10)</f>
        <v>10</v>
      </c>
      <c r="J294" s="340">
        <f>J297</f>
        <v>0</v>
      </c>
      <c r="K294" s="518">
        <f t="shared" ca="1" si="189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IFERROR(__xludf.DUMMYFUNCTION("IMPORTRANGE(""https://docs.google.com/spreadsheets/d/1eHaY18a8A9IcSdp1K8H6x8fbOy06t2VsZHhMHf-1x7Y/edit?usp=sharing"",""แผน!ED19"")"),10)</f>
        <v>10</v>
      </c>
      <c r="J296" s="520">
        <v>0</v>
      </c>
      <c r="K296" s="521">
        <f t="shared" ref="K296:K297" ca="1" si="190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IFERROR(__xludf.DUMMYFUNCTION("IMPORTRANGE(""https://docs.google.com/spreadsheets/d/1eHaY18a8A9IcSdp1K8H6x8fbOy06t2VsZHhMHf-1x7Y/edit?usp=sharing"",""แผน!ED19"")"),10)</f>
        <v>10</v>
      </c>
      <c r="J297" s="520">
        <v>0</v>
      </c>
      <c r="K297" s="521">
        <f t="shared" ca="1" si="190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30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260958.39</v>
      </c>
      <c r="R304" s="515">
        <f t="shared" ca="1" si="195"/>
        <v>260958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260958.39</v>
      </c>
      <c r="R306" s="230">
        <f t="shared" ca="1" si="199"/>
        <v>260958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260958.39</v>
      </c>
      <c r="R307" s="230">
        <f t="shared" ca="1" si="201"/>
        <v>260958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IFERROR(__xludf.DUMMYFUNCTION("IMPORTRANGE(""https://docs.google.com/spreadsheets/d/1-uDff_7J0KD5mKrp0Vvzr7lt3OU09vwQwhkpOPPYv2Y/edit?usp=sharing"",""งบพรบ!DY19"")"),0)</f>
        <v>0</v>
      </c>
      <c r="M309" s="230">
        <f ca="1">IFERROR(__xludf.DUMMYFUNCTION("IMPORTRANGE(""https://docs.google.com/spreadsheets/d/1-uDff_7J0KD5mKrp0Vvzr7lt3OU09vwQwhkpOPPYv2Y/edit?usp=sharing"",""งบพรบ!ED19"")"),0)</f>
        <v>0</v>
      </c>
      <c r="N309" s="230">
        <f ca="1">IFERROR(__xludf.DUMMYFUNCTION("IMPORTRANGE(""https://docs.google.com/spreadsheets/d/1-uDff_7J0KD5mKrp0Vvzr7lt3OU09vwQwhkpOPPYv2Y/edit?usp=sharing"",""งบพรบ!EF19"")"),0)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IFERROR(__xludf.DUMMYFUNCTION("IMPORTRANGE(""https://docs.google.com/spreadsheets/d/1ItG2mGa2ceCfYo0BwxsXqNm01IGEUdYcSSLTEv9YCik/edit?usp=sharing"",""เบิกจ่ายกองทุน!AP19"")"),260958.39)</f>
        <v>260958.39</v>
      </c>
      <c r="R309" s="230">
        <f ca="1">IFERROR(__xludf.DUMMYFUNCTION("IMPORTRANGE(""https://docs.google.com/spreadsheets/d/1ItG2mGa2ceCfYo0BwxsXqNm01IGEUdYcSSLTEv9YCik/edit?usp=sharing"",""เบิกจ่ายกองทุน!AQ19"")"),260958)</f>
        <v>260958</v>
      </c>
      <c r="S309" s="230">
        <f ca="1">IFERROR(__xludf.DUMMYFUNCTION("IMPORTRANGE(""https://docs.google.com/spreadsheets/d/1ItG2mGa2ceCfYo0BwxsXqNm01IGEUdYcSSLTEv9YCik/edit?usp=sharing"",""เบิกจ่ายกองทุน!AR19"")"),0)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IFERROR(__xludf.DUMMYFUNCTION("IMPORTRANGE(""https://docs.google.com/spreadsheets/d/1-uDff_7J0KD5mKrp0Vvzr7lt3OU09vwQwhkpOPPYv2Y/edit?usp=sharing"",""งบพรบ!EB19"")"),0)</f>
        <v>0</v>
      </c>
      <c r="M312" s="230">
        <f ca="1">IFERROR(__xludf.DUMMYFUNCTION("IMPORTRANGE(""https://docs.google.com/spreadsheets/d/1-uDff_7J0KD5mKrp0Vvzr7lt3OU09vwQwhkpOPPYv2Y/edit?usp=sharing"",""งบพรบ!EE19"")"),0)</f>
        <v>0</v>
      </c>
      <c r="N312" s="230">
        <f ca="1">IFERROR(__xludf.DUMMYFUNCTION("IMPORTRANGE(""https://docs.google.com/spreadsheets/d/1-uDff_7J0KD5mKrp0Vvzr7lt3OU09vwQwhkpOPPYv2Y/edit?usp=sharing"",""งบพรบ!EG19"")"),0)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IFERROR(__xludf.DUMMYFUNCTION("IMPORTRANGE(""https://docs.google.com/spreadsheets/d/1eHaY18a8A9IcSdp1K8H6x8fbOy06t2VsZHhMHf-1x7Y/edit?usp=sharing"",""แผน!EF19"")"),30)</f>
        <v>30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IFERROR(__xludf.DUMMYFUNCTION("IMPORTRANGE(""https://docs.google.com/spreadsheets/d/1-uDff_7J0KD5mKrp0Vvzr7lt3OU09vwQwhkpOPPYv2Y/edit?usp=sharing"",""งบพรบ!EI19"")"),0)</f>
        <v>0</v>
      </c>
      <c r="M326" s="230">
        <f ca="1">IFERROR(__xludf.DUMMYFUNCTION("IMPORTRANGE(""https://docs.google.com/spreadsheets/d/1-uDff_7J0KD5mKrp0Vvzr7lt3OU09vwQwhkpOPPYv2Y/edit?usp=sharing"",""งบพรบ!EN19"")"),0)</f>
        <v>0</v>
      </c>
      <c r="N326" s="230">
        <f ca="1">IFERROR(__xludf.DUMMYFUNCTION("IMPORTRANGE(""https://docs.google.com/spreadsheets/d/1-uDff_7J0KD5mKrp0Vvzr7lt3OU09vwQwhkpOPPYv2Y/edit?usp=sharing"",""งบพรบ!EP19"")"),0)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IFERROR(__xludf.DUMMYFUNCTION("IMPORTRANGE(""https://docs.google.com/spreadsheets/d/1-uDff_7J0KD5mKrp0Vvzr7lt3OU09vwQwhkpOPPYv2Y/edit?usp=sharing"",""งบพรบ!EL19"")"),0)</f>
        <v>0</v>
      </c>
      <c r="M329" s="230">
        <f ca="1">IFERROR(__xludf.DUMMYFUNCTION("IMPORTRANGE(""https://docs.google.com/spreadsheets/d/1-uDff_7J0KD5mKrp0Vvzr7lt3OU09vwQwhkpOPPYv2Y/edit?usp=sharing"",""งบพรบ!EO19"")"),0)</f>
        <v>0</v>
      </c>
      <c r="N329" s="230">
        <f ca="1">IFERROR(__xludf.DUMMYFUNCTION("IMPORTRANGE(""https://docs.google.com/spreadsheets/d/1-uDff_7J0KD5mKrp0Vvzr7lt3OU09vwQwhkpOPPYv2Y/edit?usp=sharing"",""งบพรบ!EQ19"")"),0)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IFERROR(__xludf.DUMMYFUNCTION("IMPORTRANGE(""https://docs.google.com/spreadsheets/d/1eHaY18a8A9IcSdp1K8H6x8fbOy06t2VsZHhMHf-1x7Y/edit?usp=sharing"",""แผน!EJ19"")"),0)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1060</v>
      </c>
      <c r="J333" s="635">
        <f ca="1">J345+J348+J349+J350+J354</f>
        <v>3224</v>
      </c>
      <c r="K333" s="636">
        <f ca="1">IF(I333&gt;0,J333*100/I333,0)</f>
        <v>304.15094339622641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110000</v>
      </c>
      <c r="M334" s="515">
        <f t="shared" ca="1" si="217"/>
        <v>115000</v>
      </c>
      <c r="N334" s="515">
        <f t="shared" ca="1" si="217"/>
        <v>55560</v>
      </c>
      <c r="O334" s="515">
        <f t="shared" ref="O334:O342" ca="1" si="218">IF(L334&gt;0,N334*100/L334,0)</f>
        <v>50.509090909090908</v>
      </c>
      <c r="P334" s="515">
        <f t="shared" ref="P334:P342" ca="1" si="219">IF(M334&gt;0,N334*100/M334,0)</f>
        <v>48.313043478260873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110000</v>
      </c>
      <c r="M336" s="230">
        <f t="shared" ca="1" si="223"/>
        <v>115000</v>
      </c>
      <c r="N336" s="230">
        <f t="shared" ca="1" si="223"/>
        <v>55560</v>
      </c>
      <c r="O336" s="230">
        <f t="shared" ca="1" si="218"/>
        <v>50.509090909090908</v>
      </c>
      <c r="P336" s="230">
        <f t="shared" ca="1" si="219"/>
        <v>48.313043478260873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110000</v>
      </c>
      <c r="M337" s="230">
        <f t="shared" ca="1" si="225"/>
        <v>115000</v>
      </c>
      <c r="N337" s="230">
        <f t="shared" ca="1" si="225"/>
        <v>55560</v>
      </c>
      <c r="O337" s="230">
        <f t="shared" ca="1" si="218"/>
        <v>50.509090909090908</v>
      </c>
      <c r="P337" s="230">
        <f t="shared" ca="1" si="219"/>
        <v>48.313043478260873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IFERROR(__xludf.DUMMYFUNCTION("IMPORTRANGE(""https://docs.google.com/spreadsheets/d/1-uDff_7J0KD5mKrp0Vvzr7lt3OU09vwQwhkpOPPYv2Y/edit?usp=sharing"",""งบพรบ!ES19"")"),110000)</f>
        <v>110000</v>
      </c>
      <c r="M339" s="230">
        <f ca="1">IFERROR(__xludf.DUMMYFUNCTION("IMPORTRANGE(""https://docs.google.com/spreadsheets/d/1-uDff_7J0KD5mKrp0Vvzr7lt3OU09vwQwhkpOPPYv2Y/edit?usp=sharing"",""งบพรบ!EX19"")"),115000)</f>
        <v>115000</v>
      </c>
      <c r="N339" s="230">
        <f ca="1">IFERROR(__xludf.DUMMYFUNCTION("IMPORTRANGE(""https://docs.google.com/spreadsheets/d/1-uDff_7J0KD5mKrp0Vvzr7lt3OU09vwQwhkpOPPYv2Y/edit?usp=sharing"",""งบพรบ!EZ19"")"),55560)</f>
        <v>55560</v>
      </c>
      <c r="O339" s="230">
        <f t="shared" ca="1" si="218"/>
        <v>50.509090909090908</v>
      </c>
      <c r="P339" s="230">
        <f t="shared" ca="1" si="219"/>
        <v>48.313043478260873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IFERROR(__xludf.DUMMYFUNCTION("IMPORTRANGE(""https://docs.google.com/spreadsheets/d/1-uDff_7J0KD5mKrp0Vvzr7lt3OU09vwQwhkpOPPYv2Y/edit?usp=sharing"",""งบพรบ!EV19"")"),0)</f>
        <v>0</v>
      </c>
      <c r="M342" s="230">
        <f ca="1">IFERROR(__xludf.DUMMYFUNCTION("IMPORTRANGE(""https://docs.google.com/spreadsheets/d/1-uDff_7J0KD5mKrp0Vvzr7lt3OU09vwQwhkpOPPYv2Y/edit?usp=sharing"",""งบพรบ!EY19"")"),0)</f>
        <v>0</v>
      </c>
      <c r="N342" s="230">
        <f ca="1">IFERROR(__xludf.DUMMYFUNCTION("IMPORTRANGE(""https://docs.google.com/spreadsheets/d/1-uDff_7J0KD5mKrp0Vvzr7lt3OU09vwQwhkpOPPYv2Y/edit?usp=sharing"",""งบพรบ!FA19"")"),0)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868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IFERROR(__xludf.DUMMYFUNCTION("IMPORTRANGE(""https://docs.google.com/spreadsheets/d/1eHaY18a8A9IcSdp1K8H6x8fbOy06t2VsZHhMHf-1x7Y/edit?usp=sharing"",""แผน!EK19"")"),1060)</f>
        <v>1060</v>
      </c>
      <c r="J345" s="189">
        <f ca="1">IFERROR(__xludf.DUMMYFUNCTION("IMPORTRANGE(""https://docs.google.com/spreadsheets/d/1awYsYK3VOup2i3Pq_Yjnu8DRu_mYwSBnCR2QPthd0rU/edit?usp=sharing"",""ศูนย์ยกเว้นโฉนด!D19"")"),868)</f>
        <v>868</v>
      </c>
      <c r="K345" s="230">
        <f ca="1">IF(I345&gt;0,J345*100/I345,0)</f>
        <v>81.886792452830193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IFERROR(__xludf.DUMMYFUNCTION("IMPORTRANGE(""https://docs.google.com/spreadsheets/d/1eHaY18a8A9IcSdp1K8H6x8fbOy06t2VsZHhMHf-1x7Y/edit?usp=sharing"",""แผน!EL19"")"),5)</f>
        <v>5</v>
      </c>
      <c r="J347" s="189">
        <f ca="1">IFERROR(__xludf.DUMMYFUNCTION("IMPORTRANGE(""https://docs.google.com/spreadsheets/d/1awYsYK3VOup2i3Pq_Yjnu8DRu_mYwSBnCR2QPthd0rU/edit?usp=sharing"",""ศูนย์รวม!E19"")"),2)</f>
        <v>2</v>
      </c>
      <c r="K347" s="230">
        <f ca="1">IF(I347&gt;0,J347*100/I347,0)</f>
        <v>40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IFERROR(__xludf.DUMMYFUNCTION("IMPORTRANGE(""https://docs.google.com/spreadsheets/d/1awYsYK3VOup2i3Pq_Yjnu8DRu_mYwSBnCR2QPthd0rU/edit?usp=sharing"",""ศูนย์ยกเว้นโฉนด!F19"")"),0)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IFERROR(__xludf.DUMMYFUNCTION("IMPORTRANGE(""https://docs.google.com/spreadsheets/d/1awYsYK3VOup2i3Pq_Yjnu8DRu_mYwSBnCR2QPthd0rU/edit?usp=sharing"",""ศูนย์ยกเว้นโฉนด!G19"")"),0)</f>
        <v>0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IFERROR(__xludf.DUMMYFUNCTION("IMPORTRANGE(""https://docs.google.com/spreadsheets/d/1awYsYK3VOup2i3Pq_Yjnu8DRu_mYwSBnCR2QPthd0rU/edit?usp=sharing"",""ศูนย์ยกเว้นโฉนด!H19"")"),0)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3211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IFERROR(__xludf.DUMMYFUNCTION("IMPORTRANGE(""https://docs.google.com/spreadsheets/d/1awYsYK3VOup2i3Pq_Yjnu8DRu_mYwSBnCR2QPthd0rU/edit?usp=sharing"",""โฉนดM3!G19"")"),855)</f>
        <v>855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IFERROR(__xludf.DUMMYFUNCTION("IMPORTRANGE(""https://docs.google.com/spreadsheets/d/1awYsYK3VOup2i3Pq_Yjnu8DRu_mYwSBnCR2QPthd0rU/edit?usp=sharing"",""โฉนดM3!H19"")"),2356)</f>
        <v>2356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814875</v>
      </c>
      <c r="M357" s="515">
        <f t="shared" ca="1" si="229"/>
        <v>814875</v>
      </c>
      <c r="N357" s="515">
        <f t="shared" ca="1" si="229"/>
        <v>338480</v>
      </c>
      <c r="O357" s="515">
        <f t="shared" ref="O357:O365" ca="1" si="230">IF(L357&gt;0,N357*100/L357,0)</f>
        <v>41.53765915017641</v>
      </c>
      <c r="P357" s="515">
        <f t="shared" ref="P357:P365" ca="1" si="231">IF(M357&gt;0,N357*100/M357,0)</f>
        <v>41.53765915017641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814875</v>
      </c>
      <c r="M359" s="230">
        <f t="shared" ca="1" si="235"/>
        <v>814875</v>
      </c>
      <c r="N359" s="230">
        <f t="shared" ca="1" si="235"/>
        <v>338480</v>
      </c>
      <c r="O359" s="230">
        <f t="shared" ca="1" si="230"/>
        <v>41.53765915017641</v>
      </c>
      <c r="P359" s="230">
        <f t="shared" ca="1" si="231"/>
        <v>41.53765915017641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814875</v>
      </c>
      <c r="M360" s="230">
        <f t="shared" ca="1" si="237"/>
        <v>814875</v>
      </c>
      <c r="N360" s="230">
        <f t="shared" ca="1" si="237"/>
        <v>338480</v>
      </c>
      <c r="O360" s="230">
        <f t="shared" ca="1" si="230"/>
        <v>41.53765915017641</v>
      </c>
      <c r="P360" s="230">
        <f t="shared" ca="1" si="231"/>
        <v>41.53765915017641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IFERROR(__xludf.DUMMYFUNCTION("IMPORTRANGE(""https://docs.google.com/spreadsheets/d/1-uDff_7J0KD5mKrp0Vvzr7lt3OU09vwQwhkpOPPYv2Y/edit?usp=sharing"",""งบพรบ!FC19"")"),814875)</f>
        <v>814875</v>
      </c>
      <c r="M362" s="230">
        <f ca="1">IFERROR(__xludf.DUMMYFUNCTION("IMPORTRANGE(""https://docs.google.com/spreadsheets/d/1-uDff_7J0KD5mKrp0Vvzr7lt3OU09vwQwhkpOPPYv2Y/edit?usp=sharing"",""งบพรบ!FH19"")"),814875)</f>
        <v>814875</v>
      </c>
      <c r="N362" s="230">
        <f ca="1">IFERROR(__xludf.DUMMYFUNCTION("IMPORTRANGE(""https://docs.google.com/spreadsheets/d/1-uDff_7J0KD5mKrp0Vvzr7lt3OU09vwQwhkpOPPYv2Y/edit?usp=sharing"",""งบพรบ!FJ19"")"),338480)</f>
        <v>338480</v>
      </c>
      <c r="O362" s="230">
        <f t="shared" ca="1" si="230"/>
        <v>41.53765915017641</v>
      </c>
      <c r="P362" s="230">
        <f t="shared" ca="1" si="231"/>
        <v>41.53765915017641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IFERROR(__xludf.DUMMYFUNCTION("IMPORTRANGE(""https://docs.google.com/spreadsheets/d/1-uDff_7J0KD5mKrp0Vvzr7lt3OU09vwQwhkpOPPYv2Y/edit?usp=sharing"",""งบพรบ!FF19"")"),0)</f>
        <v>0</v>
      </c>
      <c r="M365" s="230">
        <f ca="1">IFERROR(__xludf.DUMMYFUNCTION("IMPORTRANGE(""https://docs.google.com/spreadsheets/d/1-uDff_7J0KD5mKrp0Vvzr7lt3OU09vwQwhkpOPPYv2Y/edit?usp=sharing"",""งบพรบ!FI19"")"),0)</f>
        <v>0</v>
      </c>
      <c r="N365" s="230">
        <f ca="1">IFERROR(__xludf.DUMMYFUNCTION("IMPORTRANGE(""https://docs.google.com/spreadsheets/d/1-uDff_7J0KD5mKrp0Vvzr7lt3OU09vwQwhkpOPPYv2Y/edit?usp=sharing"",""งบพรบ!FK19"")"),0)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532</v>
      </c>
      <c r="J366" s="313">
        <f t="shared" ca="1" si="241"/>
        <v>835</v>
      </c>
      <c r="K366" s="314">
        <f ca="1">IF(I366&gt;0,J366*100/I366,0)</f>
        <v>156.95488721804512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IFERROR(__xludf.DUMMYFUNCTION("IMPORTRANGE(""https://docs.google.com/spreadsheets/d/1tdoBKaGub7dwA3U6UFTqxio9LNnvDCQjHKmttSEBsFQ/edit?usp=sharing"",""จัดที่ดิน!AB19"")"),216)</f>
        <v>216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IFERROR(__xludf.DUMMYFUNCTION("IMPORTRANGE(""https://docs.google.com/spreadsheets/d/1eHaY18a8A9IcSdp1K8H6x8fbOy06t2VsZHhMHf-1x7Y/edit?usp=sharing"",""แผน!EW19"")"),4230)</f>
        <v>4230</v>
      </c>
      <c r="J369" s="646">
        <f ca="1">IFERROR(__xludf.DUMMYFUNCTION("IMPORTRANGE(""https://docs.google.com/spreadsheets/d/1tdoBKaGub7dwA3U6UFTqxio9LNnvDCQjHKmttSEBsFQ/edit?usp=sharing"",""จัดที่ดิน!AC19"")"),924.79)</f>
        <v>924.79</v>
      </c>
      <c r="K369" s="230">
        <f t="shared" ca="1" si="242"/>
        <v>21.862647754137114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IFERROR(__xludf.DUMMYFUNCTION("IMPORTRANGE(""https://docs.google.com/spreadsheets/d/1eHaY18a8A9IcSdp1K8H6x8fbOy06t2VsZHhMHf-1x7Y/edit?usp=sharing"",""แผน!EX19"")"),820)</f>
        <v>820</v>
      </c>
      <c r="J370" s="189">
        <f ca="1">IFERROR(__xludf.DUMMYFUNCTION("IMPORTRANGE(""https://docs.google.com/spreadsheets/d/1tdoBKaGub7dwA3U6UFTqxio9LNnvDCQjHKmttSEBsFQ/edit?usp=sharing"",""จัดที่ดิน!AD19"")"),849)</f>
        <v>849</v>
      </c>
      <c r="K370" s="230">
        <f t="shared" ca="1" si="242"/>
        <v>103.53658536585365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IFERROR(__xludf.DUMMYFUNCTION("IMPORTRANGE(""https://docs.google.com/spreadsheets/d/1tdoBKaGub7dwA3U6UFTqxio9LNnvDCQjHKmttSEBsFQ/edit?usp=sharing"",""จัดที่ดิน!AE19"")"),5700.37)</f>
        <v>5700.37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IFERROR(__xludf.DUMMYFUNCTION("IMPORTRANGE(""https://docs.google.com/spreadsheets/d/1eHaY18a8A9IcSdp1K8H6x8fbOy06t2VsZHhMHf-1x7Y/edit?usp=sharing"",""แผน!EY19"")"),532)</f>
        <v>532</v>
      </c>
      <c r="J372" s="189">
        <f ca="1">IFERROR(__xludf.DUMMYFUNCTION("IMPORTRANGE(""https://docs.google.com/spreadsheets/d/1tdoBKaGub7dwA3U6UFTqxio9LNnvDCQjHKmttSEBsFQ/edit?usp=sharing"",""จัดที่ดิน!AF19"")"),835)</f>
        <v>835</v>
      </c>
      <c r="K372" s="230">
        <f t="shared" ca="1" si="242"/>
        <v>156.95488721804512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IFERROR(__xludf.DUMMYFUNCTION("IMPORTRANGE(""https://docs.google.com/spreadsheets/d/1tdoBKaGub7dwA3U6UFTqxio9LNnvDCQjHKmttSEBsFQ/edit?usp=sharing"",""จัดที่ดิน!AG19"")"),5668.1)</f>
        <v>5668.1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I387+I389</f>
        <v>1000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62500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62500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62500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IFERROR(__xludf.DUMMYFUNCTION("IMPORTRANGE(""https://docs.google.com/spreadsheets/d/1ItG2mGa2ceCfYo0BwxsXqNm01IGEUdYcSSLTEv9YCik/edit?usp=sharing"",""เบิกจ่ายกองทุน!AY19"")"),62500)</f>
        <v>62500</v>
      </c>
      <c r="R381" s="230">
        <f ca="1">IFERROR(__xludf.DUMMYFUNCTION("IMPORTRANGE(""https://docs.google.com/spreadsheets/d/1ItG2mGa2ceCfYo0BwxsXqNm01IGEUdYcSSLTEv9YCik/edit?usp=sharing"",""เบิกจ่ายกองทุน!AZ19"")"),0)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IFERROR(__xludf.DUMMYFUNCTION("IMPORTRANGE(""https://docs.google.com/spreadsheets/d/1ItG2mGa2ceCfYo0BwxsXqNm01IGEUdYcSSLTEv9YCik/edit?usp=sharing"",""เบิกจ่ายกองทุน!BA19"")"),0)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IFERROR(__xludf.DUMMYFUNCTION("IMPORTRANGE(""https://docs.google.com/spreadsheets/d/1w5rwWK1o49a35cNtocGL0gxDwhFSTZUQu90BiH9_zqM/edit?usp=sharing"",""RTK!H19"")"),0)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IFERROR(__xludf.DUMMYFUNCTION("IMPORTRANGE(""https://docs.google.com/spreadsheets/d/1w5rwWK1o49a35cNtocGL0gxDwhFSTZUQu90BiH9_zqM/edit?usp=sharing"",""RTK!G19"")"),1000)</f>
        <v>1000</v>
      </c>
      <c r="J387" s="189">
        <f ca="1">IFERROR(__xludf.DUMMYFUNCTION("IMPORTRANGE(""https://docs.google.com/spreadsheets/d/1w5rwWK1o49a35cNtocGL0gxDwhFSTZUQu90BiH9_zqM/edit?usp=sharing"",""RTK!I19"")"),0)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IFERROR(__xludf.DUMMYFUNCTION("IMPORTRANGE(""https://docs.google.com/spreadsheets/d/1w5rwWK1o49a35cNtocGL0gxDwhFSTZUQu90BiH9_zqM/edit?usp=sharing"",""RTK!L19"")"),0)</f>
        <v>0</v>
      </c>
      <c r="K388" s="592">
        <f t="shared" si="256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IFERROR(__xludf.DUMMYFUNCTION("IMPORTRANGE(""https://docs.google.com/spreadsheets/d/1w5rwWK1o49a35cNtocGL0gxDwhFSTZUQu90BiH9_zqM/edit?usp=sharing"",""RTK!K19"")"),0)</f>
        <v>0</v>
      </c>
      <c r="J389" s="661">
        <f ca="1">IFERROR(__xludf.DUMMYFUNCTION("IMPORTRANGE(""https://docs.google.com/spreadsheets/d/1w5rwWK1o49a35cNtocGL0gxDwhFSTZUQu90BiH9_zqM/edit?usp=sharing"",""RTK!M19"")"),0)</f>
        <v>0</v>
      </c>
      <c r="K389" s="592">
        <f t="shared" ca="1" si="256"/>
        <v>0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IFERROR(__xludf.DUMMYFUNCTION("IMPORTRANGE(""https://docs.google.com/spreadsheets/d/1ItG2mGa2ceCfYo0BwxsXqNm01IGEUdYcSSLTEv9YCik/edit?usp=sharing"",""เบิกจ่ายกองทุน!BH19"")"),0)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IFERROR(__xludf.DUMMYFUNCTION("IMPORTRANGE(""https://docs.google.com/spreadsheets/d/1ItG2mGa2ceCfYo0BwxsXqNm01IGEUdYcSSLTEv9YCik/edit?usp=sharing"",""เบิกจ่ายกองทุน!BI19"")"),0)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IFERROR(__xludf.DUMMYFUNCTION("IMPORTRANGE(""https://docs.google.com/spreadsheets/d/1ItG2mGa2ceCfYo0BwxsXqNm01IGEUdYcSSLTEv9YCik/edit?usp=sharing"",""เบิกจ่ายกองทุน!BJ19"")"),0)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IFERROR(__xludf.DUMMYFUNCTION("IMPORTRANGE(""https://docs.google.com/spreadsheets/d/1eHaY18a8A9IcSdp1K8H6x8fbOy06t2VsZHhMHf-1x7Y/edit?usp=sharing"",""แผน!HJ19"")"),0)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IFERROR(__xludf.DUMMYFUNCTION("IMPORTRANGE(""https://docs.google.com/spreadsheets/d/1eHaY18a8A9IcSdp1K8H6x8fbOy06t2VsZHhMHf-1x7Y/edit?usp=sharing"",""แผน!HK19"")"),0)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IFERROR(__xludf.DUMMYFUNCTION("IMPORTRANGE(""https://docs.google.com/spreadsheets/d/1eHaY18a8A9IcSdp1K8H6x8fbOy06t2VsZHhMHf-1x7Y/edit?usp=sharing"",""แผน!HJ19"")"),0)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IFERROR(__xludf.DUMMYFUNCTION("IMPORTRANGE(""https://docs.google.com/spreadsheets/d/1eHaY18a8A9IcSdp1K8H6x8fbOy06t2VsZHhMHf-1x7Y/edit?usp=sharing"",""แผน!HK19"")"),0)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IFERROR(__xludf.DUMMYFUNCTION("IMPORTRANGE(""https://docs.google.com/spreadsheets/d/1eHaY18a8A9IcSdp1K8H6x8fbOy06t2VsZHhMHf-1x7Y/edit?usp=sharing"",""แผน!HJ19"")"),0)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IFERROR(__xludf.DUMMYFUNCTION("IMPORTRANGE(""https://docs.google.com/spreadsheets/d/1eHaY18a8A9IcSdp1K8H6x8fbOy06t2VsZHhMHf-1x7Y/edit?usp=sharing"",""แผน!HK19"")"),0)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IFERROR(__xludf.DUMMYFUNCTION("IMPORTRANGE(""https://docs.google.com/spreadsheets/d/1eHaY18a8A9IcSdp1K8H6x8fbOy06t2VsZHhMHf-1x7Y/edit?usp=sharing"",""แผน!HL19"")"),0)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IFERROR(__xludf.DUMMYFUNCTION("IMPORTRANGE(""https://docs.google.com/spreadsheets/d/1eHaY18a8A9IcSdp1K8H6x8fbOy06t2VsZHhMHf-1x7Y/edit?usp=sharing"",""แผน!HM19"")"),0)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IFERROR(__xludf.DUMMYFUNCTION("IMPORTRANGE(""https://docs.google.com/spreadsheets/d/1eHaY18a8A9IcSdp1K8H6x8fbOy06t2VsZHhMHf-1x7Y/edit?usp=sharing"",""แผน!HN19"")"),0)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IFERROR(__xludf.DUMMYFUNCTION("IMPORTRANGE(""https://docs.google.com/spreadsheets/d/1eHaY18a8A9IcSdp1K8H6x8fbOy06t2VsZHhMHf-1x7Y/edit?usp=sharing"",""แผน!HO19"")"),0)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IFERROR(__xludf.DUMMYFUNCTION("IMPORTRANGE(""https://docs.google.com/spreadsheets/d/1ItG2mGa2ceCfYo0BwxsXqNm01IGEUdYcSSLTEv9YCik/edit?usp=sharing"",""เบิกจ่ายกองทุน!X19"")"),0)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IFERROR(__xludf.DUMMYFUNCTION("IMPORTRANGE(""https://docs.google.com/spreadsheets/d/1ItG2mGa2ceCfYo0BwxsXqNm01IGEUdYcSSLTEv9YCik/edit?usp=sharing"",""เบิกจ่ายกองทุน!Y19"")"),0)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IFERROR(__xludf.DUMMYFUNCTION("IMPORTRANGE(""https://docs.google.com/spreadsheets/d/1ItG2mGa2ceCfYo0BwxsXqNm01IGEUdYcSSLTEv9YCik/edit?usp=sharing"",""เบิกจ่ายกองทุน!Z19"")"),0)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IFERROR(__xludf.DUMMYFUNCTION("IMPORTRANGE(""https://docs.google.com/spreadsheets/d/1eHaY18a8A9IcSdp1K8H6x8fbOy06t2VsZHhMHf-1x7Y/edit?usp=sharing"",""แผน!GX19"")"),0)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IFERROR(__xludf.DUMMYFUNCTION("IMPORTRANGE(""https://docs.google.com/spreadsheets/d/1eHaY18a8A9IcSdp1K8H6x8fbOy06t2VsZHhMHf-1x7Y/edit?usp=sharing"",""แผน!GY19"")"),0)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IFERROR(__xludf.DUMMYFUNCTION("IMPORTRANGE(""https://docs.google.com/spreadsheets/d/1eHaY18a8A9IcSdp1K8H6x8fbOy06t2VsZHhMHf-1x7Y/edit?usp=sharing"",""แผน!GZ19"")"),0)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IFERROR(__xludf.DUMMYFUNCTION("IMPORTRANGE(""https://docs.google.com/spreadsheets/d/1eHaY18a8A9IcSdp1K8H6x8fbOy06t2VsZHhMHf-1x7Y/edit?usp=sharing"",""แผน!HA19"")"),0)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IFERROR(__xludf.DUMMYFUNCTION("IMPORTRANGE(""https://docs.google.com/spreadsheets/d/1eHaY18a8A9IcSdp1K8H6x8fbOy06t2VsZHhMHf-1x7Y/edit?usp=sharing"",""แผน!HB19"")"),0)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IFERROR(__xludf.DUMMYFUNCTION("IMPORTRANGE(""https://docs.google.com/spreadsheets/d/1eHaY18a8A9IcSdp1K8H6x8fbOy06t2VsZHhMHf-1x7Y/edit?usp=sharing"",""แผน!HC19"")"),0)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IFERROR(__xludf.DUMMYFUNCTION("IMPORTRANGE(""https://docs.google.com/spreadsheets/d/1-uDff_7J0KD5mKrp0Vvzr7lt3OU09vwQwhkpOPPYv2Y/edit?usp=sharing"",""งบพรบ!FM19"")"),0)</f>
        <v>0</v>
      </c>
      <c r="M519" s="230">
        <f ca="1">IFERROR(__xludf.DUMMYFUNCTION("IMPORTRANGE(""https://docs.google.com/spreadsheets/d/1-uDff_7J0KD5mKrp0Vvzr7lt3OU09vwQwhkpOPPYv2Y/edit?usp=sharing"",""งบพรบ!FR19"")"),0)</f>
        <v>0</v>
      </c>
      <c r="N519" s="230">
        <f ca="1">IFERROR(__xludf.DUMMYFUNCTION("IMPORTRANGE(""https://docs.google.com/spreadsheets/d/1-uDff_7J0KD5mKrp0Vvzr7lt3OU09vwQwhkpOPPYv2Y/edit?usp=sharing"",""งบพรบ!FT19"")"),0)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IFERROR(__xludf.DUMMYFUNCTION("IMPORTRANGE(""https://docs.google.com/spreadsheets/d/1-uDff_7J0KD5mKrp0Vvzr7lt3OU09vwQwhkpOPPYv2Y/edit?usp=sharing"",""งบพรบ!FP19"")"),0)</f>
        <v>0</v>
      </c>
      <c r="M522" s="230">
        <f ca="1">IFERROR(__xludf.DUMMYFUNCTION("IMPORTRANGE(""https://docs.google.com/spreadsheets/d/1-uDff_7J0KD5mKrp0Vvzr7lt3OU09vwQwhkpOPPYv2Y/edit?usp=sharing"",""งบพรบ!FS19"")"),0)</f>
        <v>0</v>
      </c>
      <c r="N522" s="230">
        <f ca="1">IFERROR(__xludf.DUMMYFUNCTION("IMPORTRANGE(""https://docs.google.com/spreadsheets/d/1-uDff_7J0KD5mKrp0Vvzr7lt3OU09vwQwhkpOPPYv2Y/edit?usp=sharing"",""งบพรบ!FU19"")"),0)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1975</v>
      </c>
      <c r="R617" s="515">
        <f t="shared" ca="1" si="384"/>
        <v>1975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1975</v>
      </c>
      <c r="R619" s="230">
        <f t="shared" ca="1" si="388"/>
        <v>1975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1975</v>
      </c>
      <c r="R620" s="230">
        <f t="shared" ca="1" si="390"/>
        <v>1975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IFERROR(__xludf.DUMMYFUNCTION("IMPORTRANGE(""https://docs.google.com/spreadsheets/d/1ItG2mGa2ceCfYo0BwxsXqNm01IGEUdYcSSLTEv9YCik/edit?usp=sharing"",""เบิกจ่ายกองทุน!F19"")"),1975)</f>
        <v>1975</v>
      </c>
      <c r="R622" s="230">
        <f ca="1">IFERROR(__xludf.DUMMYFUNCTION("IMPORTRANGE(""https://docs.google.com/spreadsheets/d/1ItG2mGa2ceCfYo0BwxsXqNm01IGEUdYcSSLTEv9YCik/edit?usp=sharing"",""เบิกจ่ายกองทุน!G19"")"),1975)</f>
        <v>1975</v>
      </c>
      <c r="S622" s="230">
        <f ca="1">IFERROR(__xludf.DUMMYFUNCTION("IMPORTRANGE(""https://docs.google.com/spreadsheets/d/1ItG2mGa2ceCfYo0BwxsXqNm01IGEUdYcSSLTEv9YCik/edit?usp=sharing"",""เบิกจ่ายกองทุน!H19"")"),0)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IFERROR(__xludf.DUMMYFUNCTION("IMPORTRANGE(""https://docs.google.com/spreadsheets/d/1eHaY18a8A9IcSdp1K8H6x8fbOy06t2VsZHhMHf-1x7Y/edit?usp=sharing"",""แผน!ID19"")"),0)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IFERROR(__xludf.DUMMYFUNCTION("IMPORTRANGE(""https://docs.google.com/spreadsheets/d/1eHaY18a8A9IcSdp1K8H6x8fbOy06t2VsZHhMHf-1x7Y/edit?usp=sharing"",""แผน!IC19"")"),1)</f>
        <v>1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IFERROR(__xludf.DUMMYFUNCTION("IMPORTRANGE(""https://docs.google.com/spreadsheets/d/1eHaY18a8A9IcSdp1K8H6x8fbOy06t2VsZHhMHf-1x7Y/edit?usp=sharing"",""แผน!IC19"")"),1)</f>
        <v>1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IFERROR(__xludf.DUMMYFUNCTION("IMPORTRANGE(""https://docs.google.com/spreadsheets/d/1eHaY18a8A9IcSdp1K8H6x8fbOy06t2VsZHhMHf-1x7Y/edit?usp=sharing"",""แผน!IE19"")"),0)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hidden="1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hidden="1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0</v>
      </c>
      <c r="R643" s="515">
        <f t="shared" ca="1" si="398"/>
        <v>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0</v>
      </c>
      <c r="R645" s="230">
        <f t="shared" ca="1" si="402"/>
        <v>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hidden="1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0</v>
      </c>
      <c r="R646" s="230">
        <f t="shared" ca="1" si="404"/>
        <v>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IFERROR(__xludf.DUMMYFUNCTION("IMPORTRANGE(""https://docs.google.com/spreadsheets/d/1ItG2mGa2ceCfYo0BwxsXqNm01IGEUdYcSSLTEv9YCik/edit?usp=sharing"",""เบิกจ่ายกองทุน!I19"")"),0)</f>
        <v>0</v>
      </c>
      <c r="R648" s="230">
        <f ca="1">IFERROR(__xludf.DUMMYFUNCTION("IMPORTRANGE(""https://docs.google.com/spreadsheets/d/1ItG2mGa2ceCfYo0BwxsXqNm01IGEUdYcSSLTEv9YCik/edit?usp=sharing"",""เบิกจ่ายกองทุน!J19"")"),0)</f>
        <v>0</v>
      </c>
      <c r="S648" s="230">
        <f ca="1">IFERROR(__xludf.DUMMYFUNCTION("IMPORTRANGE(""https://docs.google.com/spreadsheets/d/1ItG2mGa2ceCfYo0BwxsXqNm01IGEUdYcSSLTEv9YCik/edit?usp=sharing"",""เบิกจ่ายกองทุน!K19"")"),0)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hidden="1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hidden="1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IFERROR(__xludf.DUMMYFUNCTION("IMPORTRANGE(""https://docs.google.com/spreadsheets/d/1eHaY18a8A9IcSdp1K8H6x8fbOy06t2VsZHhMHf-1x7Y/edit?usp=sharing"",""แผน!IF19"")"),0)</f>
        <v>0</v>
      </c>
      <c r="J653" s="189">
        <f ca="1">IFERROR(__xludf.DUMMYFUNCTION("IMPORTRANGE(""https://docs.google.com/spreadsheets/d/1tdoBKaGub7dwA3U6UFTqxio9LNnvDCQjHKmttSEBsFQ/edit?usp=sharing"",""จัดที่ดิน!AU19"")"),0)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IFERROR(__xludf.DUMMYFUNCTION("IMPORTRANGE(""https://docs.google.com/spreadsheets/d/1eHaY18a8A9IcSdp1K8H6x8fbOy06t2VsZHhMHf-1x7Y/edit?usp=sharing"",""แผน!IG19"")"),0)</f>
        <v>0</v>
      </c>
      <c r="J654" s="189">
        <f ca="1">IFERROR(__xludf.DUMMYFUNCTION("IMPORTRANGE(""https://docs.google.com/spreadsheets/d/1tdoBKaGub7dwA3U6UFTqxio9LNnvDCQjHKmttSEBsFQ/edit?usp=sharing"",""จัดที่ดิน!AW19"")"),0)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hidden="1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IFERROR(__xludf.DUMMYFUNCTION("IMPORTRANGE(""https://docs.google.com/spreadsheets/d/1eHaY18a8A9IcSdp1K8H6x8fbOy06t2VsZHhMHf-1x7Y/edit?usp=sharing"",""แผน!IH19"")"),0)</f>
        <v>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hidden="1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hidden="1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hidden="1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IFERROR(__xludf.DUMMYFUNCTION("IMPORTRANGE(""https://docs.google.com/spreadsheets/d/1eHaY18a8A9IcSdp1K8H6x8fbOy06t2VsZHhMHf-1x7Y/edit?usp=sharing"",""แผน!II19"")"),0)</f>
        <v>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hidden="1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hidden="1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hidden="1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IFERROR(__xludf.DUMMYFUNCTION("IMPORTRANGE(""https://docs.google.com/spreadsheets/d/1eHaY18a8A9IcSdp1K8H6x8fbOy06t2VsZHhMHf-1x7Y/edit?usp=sharing"",""แผน!IJ19"")"),0)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IFERROR(__xludf.DUMMYFUNCTION("IMPORTRANGE(""https://docs.google.com/spreadsheets/d/1eHaY18a8A9IcSdp1K8H6x8fbOy06t2VsZHhMHf-1x7Y/edit?usp=sharing"",""แผน!IK19"")"),0)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IFERROR(__xludf.DUMMYFUNCTION("IMPORTRANGE(""https://docs.google.com/spreadsheets/d/1tdoBKaGub7dwA3U6UFTqxio9LNnvDCQjHKmttSEBsFQ/edit?usp=sharing"",""จัดที่ดิน!AY19"")"),0)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IFERROR(__xludf.DUMMYFUNCTION("IMPORTRANGE(""https://docs.google.com/spreadsheets/d/1tdoBKaGub7dwA3U6UFTqxio9LNnvDCQjHKmttSEBsFQ/edit?usp=sharing"",""จัดที่ดิน!AZ19"")"),0)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IFERROR(__xludf.DUMMYFUNCTION("IMPORTRANGE(""https://docs.google.com/spreadsheets/d/1eHaY18a8A9IcSdp1K8H6x8fbOy06t2VsZHhMHf-1x7Y/edit?usp=sharing"",""แผน!IL19"")"),0)</f>
        <v>0</v>
      </c>
      <c r="J674" s="189">
        <f ca="1">IFERROR(__xludf.DUMMYFUNCTION("IMPORTRANGE(""https://docs.google.com/spreadsheets/d/1tdoBKaGub7dwA3U6UFTqxio9LNnvDCQjHKmttSEBsFQ/edit?usp=sharing"",""จัดที่ดิน!BA19"")"),0)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IFERROR(__xludf.DUMMYFUNCTION("IMPORTRANGE(""https://docs.google.com/spreadsheets/d/1eHaY18a8A9IcSdp1K8H6x8fbOy06t2VsZHhMHf-1x7Y/edit?usp=sharing"",""แผน!IM19"")"),0)</f>
        <v>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IFERROR(__xludf.DUMMYFUNCTION("IMPORTRANGE(""https://docs.google.com/spreadsheets/d/1eHaY18a8A9IcSdp1K8H6x8fbOy06t2VsZHhMHf-1x7Y/edit?usp=sharing"",""แผน!IN19"")"),0)</f>
        <v>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IFERROR(__xludf.DUMMYFUNCTION("IMPORTRANGE(""https://docs.google.com/spreadsheets/d/1eHaY18a8A9IcSdp1K8H6x8fbOy06t2VsZHhMHf-1x7Y/edit?usp=sharing"",""แผน!IO19"")"),0)</f>
        <v>0</v>
      </c>
      <c r="J677" s="189">
        <f ca="1">IFERROR(__xludf.DUMMYFUNCTION("IMPORTRANGE(""https://docs.google.com/spreadsheets/d/1tdoBKaGub7dwA3U6UFTqxio9LNnvDCQjHKmttSEBsFQ/edit?usp=sharing"",""จัดที่ดิน!BF19"")"),0)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IFERROR(__xludf.DUMMYFUNCTION("IMPORTRANGE(""https://docs.google.com/spreadsheets/d/1tdoBKaGub7dwA3U6UFTqxio9LNnvDCQjHKmttSEBsFQ/edit?usp=sharing"",""จัดที่ดิน!BG19"")"),0)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IFERROR(__xludf.DUMMYFUNCTION("IMPORTRANGE(""https://docs.google.com/spreadsheets/d/1eHaY18a8A9IcSdp1K8H6x8fbOy06t2VsZHhMHf-1x7Y/edit?usp=sharing"",""แผน!IP19"")"),0)</f>
        <v>0</v>
      </c>
      <c r="J679" s="189">
        <f ca="1">IFERROR(__xludf.DUMMYFUNCTION("IMPORTRANGE(""https://docs.google.com/spreadsheets/d/1tdoBKaGub7dwA3U6UFTqxio9LNnvDCQjHKmttSEBsFQ/edit?usp=sharing"",""จัดที่ดิน!BH19"")"),0)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IFERROR(__xludf.DUMMYFUNCTION("IMPORTRANGE(""https://docs.google.com/spreadsheets/d/1eHaY18a8A9IcSdp1K8H6x8fbOy06t2VsZHhMHf-1x7Y/edit?usp=sharing"",""แผน!IQ19"")"),0)</f>
        <v>0</v>
      </c>
      <c r="J680" s="189">
        <f ca="1">IFERROR(__xludf.DUMMYFUNCTION("IMPORTRANGE(""https://docs.google.com/spreadsheets/d/1tdoBKaGub7dwA3U6UFTqxio9LNnvDCQjHKmttSEBsFQ/edit?usp=sharing"",""จัดที่ดิน!BK19"")"),0)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IFERROR(__xludf.DUMMYFUNCTION("IMPORTRANGE(""https://docs.google.com/spreadsheets/d/1tdoBKaGub7dwA3U6UFTqxio9LNnvDCQjHKmttSEBsFQ/edit?usp=sharing"",""จัดที่ดิน!BL19"")"),0)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IFERROR(__xludf.DUMMYFUNCTION("IMPORTRANGE(""https://docs.google.com/spreadsheets/d/1eHaY18a8A9IcSdp1K8H6x8fbOy06t2VsZHhMHf-1x7Y/edit?usp=sharing"",""แผน!IR19"")"),0)</f>
        <v>0</v>
      </c>
      <c r="J682" s="189">
        <f ca="1">IFERROR(__xludf.DUMMYFUNCTION("IMPORTRANGE(""https://docs.google.com/spreadsheets/d/1tdoBKaGub7dwA3U6UFTqxio9LNnvDCQjHKmttSEBsFQ/edit?usp=sharing"",""จัดที่ดิน!BM19"")"),0)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IFERROR(__xludf.DUMMYFUNCTION("IMPORTRANGE(""https://docs.google.com/spreadsheets/d/1eHaY18a8A9IcSdp1K8H6x8fbOy06t2VsZHhMHf-1x7Y/edit?usp=sharing"",""แผน!IS19"")"),0)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34" t="s">
        <v>35</v>
      </c>
      <c r="I690" s="756">
        <f t="shared" ref="I690:J690" ca="1" si="411">I708</f>
        <v>70</v>
      </c>
      <c r="J690" s="756">
        <f t="shared" ca="1" si="411"/>
        <v>0</v>
      </c>
      <c r="K690" s="701">
        <f ca="1">IF(I690&gt;0,J690*100/I690,0)</f>
        <v>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205820</v>
      </c>
      <c r="R691" s="515">
        <f t="shared" ca="1" si="415"/>
        <v>205820</v>
      </c>
      <c r="S691" s="515">
        <f t="shared" ca="1" si="415"/>
        <v>24150</v>
      </c>
      <c r="T691" s="515">
        <f t="shared" ref="T691:T699" ca="1" si="416">IF(Q691&gt;0,S691*100/Q691,0)</f>
        <v>11.733553590515985</v>
      </c>
      <c r="U691" s="515">
        <f t="shared" ref="U691:U699" ca="1" si="417">IF(R691&gt;0,S691*100/R691,0)</f>
        <v>11.733553590515985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205820</v>
      </c>
      <c r="R693" s="230">
        <f t="shared" ca="1" si="419"/>
        <v>205820</v>
      </c>
      <c r="S693" s="230">
        <f t="shared" ca="1" si="419"/>
        <v>24150</v>
      </c>
      <c r="T693" s="230">
        <f t="shared" ca="1" si="416"/>
        <v>11.733553590515985</v>
      </c>
      <c r="U693" s="230">
        <f t="shared" ca="1" si="417"/>
        <v>11.733553590515985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205820</v>
      </c>
      <c r="R694" s="230">
        <f t="shared" ca="1" si="421"/>
        <v>205820</v>
      </c>
      <c r="S694" s="230">
        <f t="shared" ca="1" si="421"/>
        <v>24150</v>
      </c>
      <c r="T694" s="230">
        <f t="shared" ca="1" si="416"/>
        <v>11.733553590515985</v>
      </c>
      <c r="U694" s="230">
        <f t="shared" ca="1" si="417"/>
        <v>11.733553590515985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6" s="230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6" s="230">
        <f ca="1">IFERROR(__xludf.DUMMYFUNCTION("IMPORTRANGE(""https://docs.google.com/spreadsheets/d/1ItG2mGa2ceCfYo0BwxsXqNm01IGEUdYcSSLTEv9YCik/edit?usp=sharing"",""เบิกจ่ายกองทุน!N19"")"),24150)</f>
        <v>24150</v>
      </c>
      <c r="T696" s="230">
        <f t="shared" ca="1" si="416"/>
        <v>11.733553590515985</v>
      </c>
      <c r="U696" s="230">
        <f t="shared" ca="1" si="417"/>
        <v>11.733553590515985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IFERROR(__xludf.DUMMYFUNCTION("IMPORTRANGE(""https://docs.google.com/spreadsheets/d/1eHaY18a8A9IcSdp1K8H6x8fbOy06t2VsZHhMHf-1x7Y/edit?usp=sharing"",""แผน!LC19"")"),1)</f>
        <v>1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74</v>
      </c>
      <c r="J702" s="340">
        <f t="shared" ca="1" si="425"/>
        <v>0</v>
      </c>
      <c r="K702" s="515">
        <f t="shared" ca="1" si="424"/>
        <v>0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0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IFERROR(__xludf.DUMMYFUNCTION("IMPORTRANGE(""https://docs.google.com/spreadsheets/d/1eHaY18a8A9IcSdp1K8H6x8fbOy06t2VsZHhMHf-1x7Y/edit?usp=sharing"",""แผน!LJ19"")"),70)</f>
        <v>70</v>
      </c>
      <c r="J704" s="189">
        <f ca="1">IFERROR(__xludf.DUMMYFUNCTION("IMPORTRANGE(""https://docs.google.com/spreadsheets/d/1tdoBKaGub7dwA3U6UFTqxio9LNnvDCQjHKmttSEBsFQ/edit?usp=sharing"",""จัดที่ดิน!AP19"")"),0)</f>
        <v>0</v>
      </c>
      <c r="K704" s="230">
        <f t="shared" ca="1" si="424"/>
        <v>0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IFERROR(__xludf.DUMMYFUNCTION("IMPORTRANGE(""https://docs.google.com/spreadsheets/d/1tdoBKaGub7dwA3U6UFTqxio9LNnvDCQjHKmttSEBsFQ/edit?usp=sharing"",""จัดที่ดิน!AQ19"")"),0)</f>
        <v>0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IFERROR(__xludf.DUMMYFUNCTION("IMPORTRANGE(""https://docs.google.com/spreadsheets/d/1eHaY18a8A9IcSdp1K8H6x8fbOy06t2VsZHhMHf-1x7Y/edit?usp=sharing"",""แผน!LK19"")"),4)</f>
        <v>4</v>
      </c>
      <c r="J706" s="189">
        <f ca="1">IFERROR(__xludf.DUMMYFUNCTION("IMPORTRANGE(""https://docs.google.com/spreadsheets/d/1tdoBKaGub7dwA3U6UFTqxio9LNnvDCQjHKmttSEBsFQ/edit?usp=sharing"",""จัดที่ดิน!AR19"")"),0)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IFERROR(__xludf.DUMMYFUNCTION("IMPORTRANGE(""https://docs.google.com/spreadsheets/d/1tdoBKaGub7dwA3U6UFTqxio9LNnvDCQjHKmttSEBsFQ/edit?usp=sharing"",""จัดที่ดิน!AS19"")"),0)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IFERROR(__xludf.DUMMYFUNCTION("IMPORTRANGE(""https://docs.google.com/spreadsheets/d/1eHaY18a8A9IcSdp1K8H6x8fbOy06t2VsZHhMHf-1x7Y/edit?usp=sharing"",""แผน!LJ19"")"),70)</f>
        <v>70</v>
      </c>
      <c r="J708" s="189">
        <f ca="1">IFERROR(__xludf.DUMMYFUNCTION("IMPORTRANGE(""https://docs.google.com/spreadsheets/d/1tdoBKaGub7dwA3U6UFTqxio9LNnvDCQjHKmttSEBsFQ/edit?usp=sharing"",""จัดที่ดิน!BN19"")"),0)</f>
        <v>0</v>
      </c>
      <c r="K708" s="230">
        <f t="shared" ca="1" si="424"/>
        <v>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IFERROR(__xludf.DUMMYFUNCTION("IMPORTRANGE(""https://docs.google.com/spreadsheets/d/1tdoBKaGub7dwA3U6UFTqxio9LNnvDCQjHKmttSEBsFQ/edit?usp=sharing"",""จัดที่ดิน!BO19"")"),0)</f>
        <v>0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IFERROR(__xludf.DUMMYFUNCTION("IMPORTRANGE(""https://docs.google.com/spreadsheets/d/1eHaY18a8A9IcSdp1K8H6x8fbOy06t2VsZHhMHf-1x7Y/edit?usp=sharing"",""แผน!LK19"")"),4)</f>
        <v>4</v>
      </c>
      <c r="J710" s="189">
        <f ca="1">IFERROR(__xludf.DUMMYFUNCTION("IMPORTRANGE(""https://docs.google.com/spreadsheets/d/1tdoBKaGub7dwA3U6UFTqxio9LNnvDCQjHKmttSEBsFQ/edit?usp=sharing"",""จัดที่ดิน!BP19"")"),0)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IFERROR(__xludf.DUMMYFUNCTION("IMPORTRANGE(""https://docs.google.com/spreadsheets/d/1tdoBKaGub7dwA3U6UFTqxio9LNnvDCQjHKmttSEBsFQ/edit?usp=sharing"",""จัดที่ดิน!BQ19"")"),0)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IFERROR(__xludf.DUMMYFUNCTION("IMPORTRANGE(""https://docs.google.com/spreadsheets/d/1eHaY18a8A9IcSdp1K8H6x8fbOy06t2VsZHhMHf-1x7Y/edit?usp=sharing"",""แผน!GA19"")"),128)</f>
        <v>128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IFERROR(__xludf.DUMMYFUNCTION("IMPORTRANGE(""https://docs.google.com/spreadsheets/d/1eHaY18a8A9IcSdp1K8H6x8fbOy06t2VsZHhMHf-1x7Y/edit?usp=sharing"",""แผน!FZ19"")"),1250)</f>
        <v>1250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1008470</v>
      </c>
      <c r="R729" s="515">
        <f t="shared" ca="1" si="442"/>
        <v>1008470</v>
      </c>
      <c r="S729" s="515">
        <f t="shared" ca="1" si="442"/>
        <v>14200</v>
      </c>
      <c r="T729" s="515">
        <f t="shared" ref="T729:T737" ca="1" si="443">IF(Q729&gt;0,S729*100/Q729,0)</f>
        <v>1.4080736164685117</v>
      </c>
      <c r="U729" s="515">
        <f t="shared" ref="U729:U737" ca="1" si="444">IF(R729&gt;0,S729*100/R729,0)</f>
        <v>1.4080736164685117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1008470</v>
      </c>
      <c r="R731" s="230">
        <f t="shared" ca="1" si="446"/>
        <v>1008470</v>
      </c>
      <c r="S731" s="230">
        <f t="shared" ca="1" si="446"/>
        <v>14200</v>
      </c>
      <c r="T731" s="230">
        <f t="shared" ca="1" si="443"/>
        <v>1.4080736164685117</v>
      </c>
      <c r="U731" s="230">
        <f t="shared" ca="1" si="444"/>
        <v>1.4080736164685117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1008470</v>
      </c>
      <c r="R732" s="230">
        <f t="shared" ca="1" si="448"/>
        <v>1008470</v>
      </c>
      <c r="S732" s="230">
        <f t="shared" ca="1" si="448"/>
        <v>14200</v>
      </c>
      <c r="T732" s="230">
        <f t="shared" ca="1" si="443"/>
        <v>1.4080736164685117</v>
      </c>
      <c r="U732" s="230">
        <f t="shared" ca="1" si="444"/>
        <v>1.4080736164685117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4" s="230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4" s="230">
        <f ca="1">IFERROR(__xludf.DUMMYFUNCTION("IMPORTRANGE(""https://docs.google.com/spreadsheets/d/1ItG2mGa2ceCfYo0BwxsXqNm01IGEUdYcSSLTEv9YCik/edit?usp=sharing"",""เบิกจ่ายกองทุน!Q19"")"),14200)</f>
        <v>14200</v>
      </c>
      <c r="T734" s="230">
        <f t="shared" ca="1" si="443"/>
        <v>1.4080736164685117</v>
      </c>
      <c r="U734" s="230">
        <f t="shared" ca="1" si="444"/>
        <v>1.4080736164685117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136"/>
      <c r="B741" s="137"/>
      <c r="C741" s="137"/>
      <c r="D741" s="137"/>
      <c r="E741" s="137"/>
      <c r="F741" s="422" t="s">
        <v>271</v>
      </c>
      <c r="G741" s="141"/>
      <c r="H741" s="131" t="s">
        <v>46</v>
      </c>
      <c r="I741" s="189">
        <f ca="1">IFERROR(__xludf.DUMMYFUNCTION("IMPORTRANGE(""https://docs.google.com/spreadsheets/d/1eHaY18a8A9IcSdp1K8H6x8fbOy06t2VsZHhMHf-1x7Y/edit?usp=sharing"",""แผน!GB19"")"),1000)</f>
        <v>1000</v>
      </c>
      <c r="J741" s="520">
        <v>0</v>
      </c>
      <c r="K741" s="230">
        <f ca="1">IF(I741&gt;0,J741*100/I741,0)</f>
        <v>0</v>
      </c>
      <c r="L741" s="484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IFERROR(__xludf.DUMMYFUNCTION("IMPORTRANGE(""https://docs.google.com/spreadsheets/d/1eHaY18a8A9IcSdp1K8H6x8fbOy06t2VsZHhMHf-1x7Y/edit?usp=sharing"",""แผน!GC19"")"),100)</f>
        <v>100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IFERROR(__xludf.DUMMYFUNCTION("IMPORTRANGE(""https://docs.google.com/spreadsheets/d/1eHaY18a8A9IcSdp1K8H6x8fbOy06t2VsZHhMHf-1x7Y/edit?usp=sharing"",""แผน!GD19"")"),250)</f>
        <v>250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IFERROR(__xludf.DUMMYFUNCTION("IMPORTRANGE(""https://docs.google.com/spreadsheets/d/1eHaY18a8A9IcSdp1K8H6x8fbOy06t2VsZHhMHf-1x7Y/edit?usp=sharing"",""แผน!GE19"")"),25)</f>
        <v>25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IFERROR(__xludf.DUMMYFUNCTION("IMPORTRANGE(""https://docs.google.com/spreadsheets/d/1eHaY18a8A9IcSdp1K8H6x8fbOy06t2VsZHhMHf-1x7Y/edit?usp=sharing"",""แผน!GF19"")"),3)</f>
        <v>3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IFERROR(__xludf.DUMMYFUNCTION("IMPORTRANGE(""https://docs.google.com/spreadsheets/d/1eHaY18a8A9IcSdp1K8H6x8fbOy06t2VsZHhMHf-1x7Y/edit?usp=sharing"",""แผน!GC19"")"),100)</f>
        <v>100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IFERROR(__xludf.DUMMYFUNCTION("IMPORTRANGE(""https://docs.google.com/spreadsheets/d/1eHaY18a8A9IcSdp1K8H6x8fbOy06t2VsZHhMHf-1x7Y/edit?usp=sharing"",""แผน!GE19"")"),25)</f>
        <v>25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65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170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491250</v>
      </c>
      <c r="R760" s="515">
        <f t="shared" ca="1" si="457"/>
        <v>491250</v>
      </c>
      <c r="S760" s="515">
        <f t="shared" ca="1" si="457"/>
        <v>13000</v>
      </c>
      <c r="T760" s="515">
        <f t="shared" ref="T760:T768" ca="1" si="458">IF(Q760&gt;0,S760*100/Q760,0)</f>
        <v>2.6463104325699747</v>
      </c>
      <c r="U760" s="515">
        <f t="shared" ref="U760:U768" ca="1" si="459">IF(R760&gt;0,S760*100/R760,0)</f>
        <v>2.6463104325699747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491250</v>
      </c>
      <c r="R762" s="230">
        <f t="shared" ca="1" si="461"/>
        <v>491250</v>
      </c>
      <c r="S762" s="230">
        <f t="shared" ca="1" si="461"/>
        <v>13000</v>
      </c>
      <c r="T762" s="230">
        <f t="shared" ca="1" si="458"/>
        <v>2.6463104325699747</v>
      </c>
      <c r="U762" s="230">
        <f t="shared" ca="1" si="459"/>
        <v>2.6463104325699747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491250</v>
      </c>
      <c r="R763" s="230">
        <f t="shared" ca="1" si="463"/>
        <v>491250</v>
      </c>
      <c r="S763" s="230">
        <f t="shared" ca="1" si="463"/>
        <v>13000</v>
      </c>
      <c r="T763" s="230">
        <f t="shared" ca="1" si="458"/>
        <v>2.6463104325699747</v>
      </c>
      <c r="U763" s="230">
        <f t="shared" ca="1" si="459"/>
        <v>2.6463104325699747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IFERROR(__xludf.DUMMYFUNCTION("IMPORTRANGE(""https://docs.google.com/spreadsheets/d/1ItG2mGa2ceCfYo0BwxsXqNm01IGEUdYcSSLTEv9YCik/edit?usp=sharing"",""เบิกจ่ายกองทุน!U19"")"),491250)</f>
        <v>491250</v>
      </c>
      <c r="R765" s="230">
        <f ca="1">IFERROR(__xludf.DUMMYFUNCTION("IMPORTRANGE(""https://docs.google.com/spreadsheets/d/1ItG2mGa2ceCfYo0BwxsXqNm01IGEUdYcSSLTEv9YCik/edit?usp=sharing"",""เบิกจ่ายกองทุน!V19"")"),491250)</f>
        <v>491250</v>
      </c>
      <c r="S765" s="230">
        <f ca="1">IFERROR(__xludf.DUMMYFUNCTION("IMPORTRANGE(""https://docs.google.com/spreadsheets/d/1ItG2mGa2ceCfYo0BwxsXqNm01IGEUdYcSSLTEv9YCik/edit?usp=sharing"",""เบิกจ่ายกองทุน!W19"")"),13000)</f>
        <v>13000</v>
      </c>
      <c r="T765" s="230">
        <f t="shared" ca="1" si="458"/>
        <v>2.6463104325699747</v>
      </c>
      <c r="U765" s="230">
        <f t="shared" ca="1" si="459"/>
        <v>2.6463104325699747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IFERROR(__xludf.DUMMYFUNCTION("IMPORTRANGE(""https://docs.google.com/spreadsheets/d/1eHaY18a8A9IcSdp1K8H6x8fbOy06t2VsZHhMHf-1x7Y/edit?usp=sharing"",""แผน!FI19"")"),0)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IFERROR(__xludf.DUMMYFUNCTION("IMPORTRANGE(""https://docs.google.com/spreadsheets/d/1eHaY18a8A9IcSdp1K8H6x8fbOy06t2VsZHhMHf-1x7Y/edit?usp=sharing"",""แผน!FQ19"")"),65)</f>
        <v>65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IFERROR(__xludf.DUMMYFUNCTION("IMPORTRANGE(""https://docs.google.com/spreadsheets/d/1eHaY18a8A9IcSdp1K8H6x8fbOy06t2VsZHhMHf-1x7Y/edit?usp=sharing"",""แผน!FR19"")"),170)</f>
        <v>170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IFERROR(__xludf.DUMMYFUNCTION("IMPORTRANGE(""https://docs.google.com/spreadsheets/d/1eHaY18a8A9IcSdp1K8H6x8fbOy06t2VsZHhMHf-1x7Y/edit?usp=sharing"",""แผน!FS19"")"),170)</f>
        <v>170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IFERROR(__xludf.DUMMYFUNCTION("IMPORTRANGE(""https://docs.google.com/spreadsheets/d/1eHaY18a8A9IcSdp1K8H6x8fbOy06t2VsZHhMHf-1x7Y/edit?usp=sharing"",""แผน!FT19"")"),65)</f>
        <v>65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IFERROR(__xludf.DUMMYFUNCTION("IMPORTRANGE(""https://docs.google.com/spreadsheets/d/10OvvATaaLtwErnr3qtWFcTmtbfpFEt5Bsqel9sXx0uE/edit?usp=sharing"",""งานกองทุน!D19"")"),5316747.01)</f>
        <v>5316747.01</v>
      </c>
      <c r="J778" s="189">
        <f ca="1">IFERROR(__xludf.DUMMYFUNCTION("IMPORTRANGE(""https://docs.google.com/spreadsheets/d/10OvvATaaLtwErnr3qtWFcTmtbfpFEt5Bsqel9sXx0uE/edit?usp=sharing"",""งานกองทุน!F19"")"),797841.01)</f>
        <v>797841.01</v>
      </c>
      <c r="K778" s="230">
        <f t="shared" ref="K778:K785" ca="1" si="466">IF(I778&gt;0,J778*100/I778,0)</f>
        <v>15.006187213711341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IFERROR(__xludf.DUMMYFUNCTION("IMPORTRANGE(""https://docs.google.com/spreadsheets/d/10OvvATaaLtwErnr3qtWFcTmtbfpFEt5Bsqel9sXx0uE/edit?usp=sharing"",""งานกองทุน!C19"")"),314)</f>
        <v>314</v>
      </c>
      <c r="J779" s="189">
        <f ca="1">IFERROR(__xludf.DUMMYFUNCTION("IMPORTRANGE(""https://docs.google.com/spreadsheets/d/10OvvATaaLtwErnr3qtWFcTmtbfpFEt5Bsqel9sXx0uE/edit?usp=sharing"",""งานกองทุน!E19"")"),57)</f>
        <v>57</v>
      </c>
      <c r="K779" s="230">
        <f t="shared" ca="1" si="466"/>
        <v>18.152866242038218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89">
        <f ca="1">IFERROR(__xludf.DUMMYFUNCTION("IMPORTRANGE(""https://docs.google.com/spreadsheets/d/10OvvATaaLtwErnr3qtWFcTmtbfpFEt5Bsqel9sXx0uE/edit?usp=sharing"",""งานกองทุน!K19"")"),408035.87)</f>
        <v>408035.87</v>
      </c>
      <c r="K780" s="230">
        <f t="shared" ca="1" si="466"/>
        <v>28.60857889407302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IFERROR(__xludf.DUMMYFUNCTION("IMPORTRANGE(""https://docs.google.com/spreadsheets/d/10OvvATaaLtwErnr3qtWFcTmtbfpFEt5Bsqel9sXx0uE/edit?usp=sharing"",""งานกองทุน!H19"")"),75)</f>
        <v>75</v>
      </c>
      <c r="J781" s="189">
        <f ca="1">IFERROR(__xludf.DUMMYFUNCTION("IMPORTRANGE(""https://docs.google.com/spreadsheets/d/10OvvATaaLtwErnr3qtWFcTmtbfpFEt5Bsqel9sXx0uE/edit?usp=sharing"",""งานกองทุน!J19"")"),44)</f>
        <v>44</v>
      </c>
      <c r="K781" s="230">
        <f t="shared" ca="1" si="466"/>
        <v>58.666666666666664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IFERROR(__xludf.DUMMYFUNCTION("IMPORTRANGE(""https://docs.google.com/spreadsheets/d/10OvvATaaLtwErnr3qtWFcTmtbfpFEt5Bsqel9sXx0uE/edit?usp=sharing"",""งานกองทุน!N19"")"),0)</f>
        <v>0</v>
      </c>
      <c r="J782" s="189">
        <f ca="1">IFERROR(__xludf.DUMMYFUNCTION("IMPORTRANGE(""https://docs.google.com/spreadsheets/d/10OvvATaaLtwErnr3qtWFcTmtbfpFEt5Bsqel9sXx0uE/edit?usp=sharing"",""งานกองทุน!P19"")"),0)</f>
        <v>0</v>
      </c>
      <c r="K782" s="230">
        <f t="shared" ca="1" si="466"/>
        <v>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IFERROR(__xludf.DUMMYFUNCTION("IMPORTRANGE(""https://docs.google.com/spreadsheets/d/10OvvATaaLtwErnr3qtWFcTmtbfpFEt5Bsqel9sXx0uE/edit?usp=sharing"",""งานกองทุน!M19"")"),0)</f>
        <v>0</v>
      </c>
      <c r="J783" s="189">
        <f ca="1">IFERROR(__xludf.DUMMYFUNCTION("IMPORTRANGE(""https://docs.google.com/spreadsheets/d/10OvvATaaLtwErnr3qtWFcTmtbfpFEt5Bsqel9sXx0uE/edit?usp=sharing"",""งานกองทุน!O19"")"),0)</f>
        <v>0</v>
      </c>
      <c r="K783" s="230">
        <f t="shared" ca="1" si="466"/>
        <v>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IFERROR(__xludf.DUMMYFUNCTION("IMPORTRANGE(""https://docs.google.com/spreadsheets/d/10OvvATaaLtwErnr3qtWFcTmtbfpFEt5Bsqel9sXx0uE/edit?usp=sharing"",""งานกองทุน!S19"")"),7140000)</f>
        <v>7140000</v>
      </c>
      <c r="J784" s="189">
        <f ca="1">IFERROR(__xludf.DUMMYFUNCTION("IMPORTRANGE(""https://docs.google.com/spreadsheets/d/10OvvATaaLtwErnr3qtWFcTmtbfpFEt5Bsqel9sXx0uE/edit?usp=sharing"",""งานกองทุน!U19"")"),1340000)</f>
        <v>1340000</v>
      </c>
      <c r="K784" s="230">
        <f t="shared" ca="1" si="466"/>
        <v>18.767507002801121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IFERROR(__xludf.DUMMYFUNCTION("IMPORTRANGE(""https://docs.google.com/spreadsheets/d/10OvvATaaLtwErnr3qtWFcTmtbfpFEt5Bsqel9sXx0uE/edit?usp=sharing"",""งานกองทุน!R19"")"),255)</f>
        <v>255</v>
      </c>
      <c r="J785" s="194">
        <f ca="1">IFERROR(__xludf.DUMMYFUNCTION("IMPORTRANGE(""https://docs.google.com/spreadsheets/d/10OvvATaaLtwErnr3qtWFcTmtbfpFEt5Bsqel9sXx0uE/edit?usp=sharing"",""งานกองทุน!T19"")"),32)</f>
        <v>32</v>
      </c>
      <c r="K785" s="461">
        <f t="shared" ca="1" si="466"/>
        <v>12.549019607843137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26FC3-3A1C-451B-86A1-94529795DA71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319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757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2">
      <c r="A7" s="818"/>
      <c r="B7" s="803"/>
      <c r="C7" s="803"/>
      <c r="D7" s="803"/>
      <c r="E7" s="803"/>
      <c r="F7" s="803"/>
      <c r="G7" s="804"/>
      <c r="H7" s="758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2180740</v>
      </c>
      <c r="M19" s="474">
        <f t="shared" ca="1" si="0"/>
        <v>2362928</v>
      </c>
      <c r="N19" s="474">
        <f t="shared" ca="1" si="0"/>
        <v>1127514.8299999998</v>
      </c>
      <c r="O19" s="474">
        <f t="shared" ref="O19:O27" ca="1" si="1">IF(L19&gt;0,N19*100/L19,0)</f>
        <v>51.703313095554712</v>
      </c>
      <c r="P19" s="474">
        <f t="shared" ref="P19:P27" ca="1" si="2">IF(M19&gt;0,N19*100/M19,0)</f>
        <v>47.71685087315398</v>
      </c>
      <c r="Q19" s="474">
        <f t="shared" ref="Q19:S19" ca="1" si="3">Q20+Q21</f>
        <v>2598210.2400000002</v>
      </c>
      <c r="R19" s="474">
        <f t="shared" ca="1" si="3"/>
        <v>2473210</v>
      </c>
      <c r="S19" s="474">
        <f t="shared" ca="1" si="3"/>
        <v>21400</v>
      </c>
      <c r="T19" s="474">
        <f t="shared" ref="T19:T27" ca="1" si="4">IF(Q19&gt;0,S19*100/Q19,0)</f>
        <v>0.82364389419079487</v>
      </c>
      <c r="U19" s="474">
        <f t="shared" ref="U19:U27" ca="1" si="5">IF(R19&gt;0,S19*100/R19,0)</f>
        <v>0.86527225751149317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2180740</v>
      </c>
      <c r="M21" s="480">
        <f t="shared" ca="1" si="6"/>
        <v>2362928</v>
      </c>
      <c r="N21" s="480">
        <f t="shared" ca="1" si="6"/>
        <v>1127514.8299999998</v>
      </c>
      <c r="O21" s="480">
        <f t="shared" ca="1" si="1"/>
        <v>51.703313095554712</v>
      </c>
      <c r="P21" s="480">
        <f t="shared" ca="1" si="2"/>
        <v>47.71685087315398</v>
      </c>
      <c r="Q21" s="480">
        <f t="shared" ca="1" si="7"/>
        <v>2598210.2400000002</v>
      </c>
      <c r="R21" s="480">
        <f t="shared" ca="1" si="7"/>
        <v>2473210</v>
      </c>
      <c r="S21" s="480">
        <f t="shared" ca="1" si="7"/>
        <v>21400</v>
      </c>
      <c r="T21" s="480">
        <f t="shared" ca="1" si="4"/>
        <v>0.82364389419079487</v>
      </c>
      <c r="U21" s="480">
        <f t="shared" ca="1" si="5"/>
        <v>0.86527225751149317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2180740</v>
      </c>
      <c r="M22" s="230">
        <f t="shared" ca="1" si="8"/>
        <v>2362928</v>
      </c>
      <c r="N22" s="230">
        <f t="shared" ca="1" si="8"/>
        <v>1127514.8299999998</v>
      </c>
      <c r="O22" s="230">
        <f t="shared" ca="1" si="1"/>
        <v>51.703313095554712</v>
      </c>
      <c r="P22" s="230">
        <f t="shared" ca="1" si="2"/>
        <v>47.71685087315398</v>
      </c>
      <c r="Q22" s="230">
        <f t="shared" ref="Q22:S22" ca="1" si="9">Q23+Q24</f>
        <v>2598210.2400000002</v>
      </c>
      <c r="R22" s="230">
        <f t="shared" ca="1" si="9"/>
        <v>2473210</v>
      </c>
      <c r="S22" s="230">
        <f t="shared" ca="1" si="9"/>
        <v>21400</v>
      </c>
      <c r="T22" s="230">
        <f t="shared" ca="1" si="4"/>
        <v>0.82364389419079487</v>
      </c>
      <c r="U22" s="230">
        <f t="shared" ca="1" si="5"/>
        <v>0.86527225751149317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2180740</v>
      </c>
      <c r="M24" s="230">
        <f t="shared" ca="1" si="10"/>
        <v>2362928</v>
      </c>
      <c r="N24" s="230">
        <f t="shared" ca="1" si="10"/>
        <v>1127514.8299999998</v>
      </c>
      <c r="O24" s="230">
        <f t="shared" ca="1" si="1"/>
        <v>51.703313095554712</v>
      </c>
      <c r="P24" s="230">
        <f t="shared" ca="1" si="2"/>
        <v>47.71685087315398</v>
      </c>
      <c r="Q24" s="230">
        <f t="shared" ca="1" si="11"/>
        <v>2598210.2400000002</v>
      </c>
      <c r="R24" s="230">
        <f t="shared" ca="1" si="11"/>
        <v>2473210</v>
      </c>
      <c r="S24" s="230">
        <f t="shared" ca="1" si="11"/>
        <v>21400</v>
      </c>
      <c r="T24" s="230">
        <f t="shared" ca="1" si="4"/>
        <v>0.82364389419079487</v>
      </c>
      <c r="U24" s="230">
        <f t="shared" ca="1" si="5"/>
        <v>0.86527225751149317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2180740</v>
      </c>
      <c r="M41" s="487">
        <f t="shared" ca="1" si="16"/>
        <v>2362928</v>
      </c>
      <c r="N41" s="487">
        <f t="shared" ca="1" si="16"/>
        <v>1127514.8299999998</v>
      </c>
      <c r="O41" s="487">
        <f ca="1">IF(L41&gt;0,N41*100/L41,0)</f>
        <v>51.703313095554712</v>
      </c>
      <c r="P41" s="487">
        <f ca="1">IF(M41&gt;0,N41*100/M41,0)</f>
        <v>47.71685087315398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261550</v>
      </c>
      <c r="M45" s="491">
        <f t="shared" ca="1" si="17"/>
        <v>480376</v>
      </c>
      <c r="N45" s="491">
        <f t="shared" ca="1" si="17"/>
        <v>291720</v>
      </c>
      <c r="O45" s="491">
        <f t="shared" ref="O45:O53" ca="1" si="18">IF(L45&gt;0,N45*100/L45,0)</f>
        <v>111.53507933473523</v>
      </c>
      <c r="P45" s="491">
        <f t="shared" ref="P45:P53" ca="1" si="19">IF(M45&gt;0,N45*100/M45,0)</f>
        <v>60.727430179692576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261550</v>
      </c>
      <c r="M47" s="497">
        <f t="shared" ca="1" si="23"/>
        <v>480376</v>
      </c>
      <c r="N47" s="497">
        <f t="shared" ca="1" si="23"/>
        <v>291720</v>
      </c>
      <c r="O47" s="497">
        <f t="shared" ca="1" si="18"/>
        <v>111.53507933473523</v>
      </c>
      <c r="P47" s="497">
        <f t="shared" ca="1" si="19"/>
        <v>60.727430179692576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261550</v>
      </c>
      <c r="M48" s="230">
        <f t="shared" ca="1" si="25"/>
        <v>480376</v>
      </c>
      <c r="N48" s="230">
        <f t="shared" ca="1" si="25"/>
        <v>291720</v>
      </c>
      <c r="O48" s="230">
        <f t="shared" ca="1" si="18"/>
        <v>111.53507933473523</v>
      </c>
      <c r="P48" s="230">
        <f t="shared" ca="1" si="19"/>
        <v>60.727430179692576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IFERROR(__xludf.DUMMYFUNCTION("IMPORTRANGE(""https://docs.google.com/spreadsheets/d/1-uDff_7J0KD5mKrp0Vvzr7lt3OU09vwQwhkpOPPYv2Y/edit?usp=sharing"",""งบพรบ!P20"")"),261550)</f>
        <v>261550</v>
      </c>
      <c r="M50" s="230">
        <f ca="1">IFERROR(__xludf.DUMMYFUNCTION("IMPORTRANGE(""https://docs.google.com/spreadsheets/d/1-uDff_7J0KD5mKrp0Vvzr7lt3OU09vwQwhkpOPPYv2Y/edit?usp=sharing"",""งบพรบ!V20"")"),480376)</f>
        <v>480376</v>
      </c>
      <c r="N50" s="230">
        <f ca="1">IFERROR(__xludf.DUMMYFUNCTION("IMPORTRANGE(""https://docs.google.com/spreadsheets/d/1-uDff_7J0KD5mKrp0Vvzr7lt3OU09vwQwhkpOPPYv2Y/edit?usp=sharing"",""งบพรบ!Y20"")"),291720)</f>
        <v>291720</v>
      </c>
      <c r="O50" s="230">
        <f t="shared" ca="1" si="18"/>
        <v>111.53507933473523</v>
      </c>
      <c r="P50" s="230">
        <f t="shared" ca="1" si="19"/>
        <v>60.727430179692576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IFERROR(__xludf.DUMMYFUNCTION("IMPORTRANGE(""https://docs.google.com/spreadsheets/d/1-uDff_7J0KD5mKrp0Vvzr7lt3OU09vwQwhkpOPPYv2Y/edit?usp=sharing"",""งบพรบ!S20"")"),0)</f>
        <v>0</v>
      </c>
      <c r="M53" s="230">
        <f ca="1">IFERROR(__xludf.DUMMYFUNCTION("IMPORTRANGE(""https://docs.google.com/spreadsheets/d/1-uDff_7J0KD5mKrp0Vvzr7lt3OU09vwQwhkpOPPYv2Y/edit?usp=sharing"",""งบพรบ!W20"")"),0)</f>
        <v>0</v>
      </c>
      <c r="N53" s="230">
        <f ca="1">IFERROR(__xludf.DUMMYFUNCTION("IMPORTRANGE(""https://docs.google.com/spreadsheets/d/1-uDff_7J0KD5mKrp0Vvzr7lt3OU09vwQwhkpOPPYv2Y/edit?usp=sharing"",""งบพรบ!Z20"")"),0)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424100</v>
      </c>
      <c r="M60" s="502">
        <f t="shared" ca="1" si="29"/>
        <v>426600</v>
      </c>
      <c r="N60" s="502">
        <f t="shared" ca="1" si="29"/>
        <v>148001.82999999999</v>
      </c>
      <c r="O60" s="502">
        <f t="shared" ref="O60:O68" ca="1" si="30">IF(L60&gt;0,N60*100/L60,0)</f>
        <v>34.897861353454367</v>
      </c>
      <c r="P60" s="502">
        <f t="shared" ref="P60:P68" ca="1" si="31">IF(M60&gt;0,N60*100/M60,0)</f>
        <v>34.693349742147205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424100</v>
      </c>
      <c r="M62" s="508">
        <f t="shared" ca="1" si="35"/>
        <v>426600</v>
      </c>
      <c r="N62" s="508">
        <f t="shared" ca="1" si="35"/>
        <v>148001.82999999999</v>
      </c>
      <c r="O62" s="508">
        <f t="shared" ca="1" si="30"/>
        <v>34.897861353454367</v>
      </c>
      <c r="P62" s="508">
        <f t="shared" ca="1" si="31"/>
        <v>34.693349742147205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424100</v>
      </c>
      <c r="M63" s="230">
        <f t="shared" ca="1" si="37"/>
        <v>426600</v>
      </c>
      <c r="N63" s="230">
        <f t="shared" ca="1" si="37"/>
        <v>148001.82999999999</v>
      </c>
      <c r="O63" s="230">
        <f t="shared" ca="1" si="30"/>
        <v>34.897861353454367</v>
      </c>
      <c r="P63" s="230">
        <f t="shared" ca="1" si="31"/>
        <v>34.693349742147205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IFERROR(__xludf.DUMMYFUNCTION("IMPORTRANGE(""https://docs.google.com/spreadsheets/d/1-uDff_7J0KD5mKrp0Vvzr7lt3OU09vwQwhkpOPPYv2Y/edit?usp=sharing"",""งบพรบ!AC20"")"),424100)</f>
        <v>424100</v>
      </c>
      <c r="M65" s="230">
        <f ca="1">IFERROR(__xludf.DUMMYFUNCTION("IMPORTRANGE(""https://docs.google.com/spreadsheets/d/1-uDff_7J0KD5mKrp0Vvzr7lt3OU09vwQwhkpOPPYv2Y/edit?usp=sharing"",""งบพรบ!AH20"")"),426600)</f>
        <v>426600</v>
      </c>
      <c r="N65" s="230">
        <f ca="1">IFERROR(__xludf.DUMMYFUNCTION("IMPORTRANGE(""https://docs.google.com/spreadsheets/d/1-uDff_7J0KD5mKrp0Vvzr7lt3OU09vwQwhkpOPPYv2Y/edit?usp=sharing"",""งบพรบ!AJ20"")"),148001.83)</f>
        <v>148001.82999999999</v>
      </c>
      <c r="O65" s="230">
        <f t="shared" ca="1" si="30"/>
        <v>34.897861353454367</v>
      </c>
      <c r="P65" s="230">
        <f t="shared" ca="1" si="31"/>
        <v>34.693349742147205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IFERROR(__xludf.DUMMYFUNCTION("IMPORTRANGE(""https://docs.google.com/spreadsheets/d/1-uDff_7J0KD5mKrp0Vvzr7lt3OU09vwQwhkpOPPYv2Y/edit?usp=sharing"",""งบพรบ!AF20"")"),0)</f>
        <v>0</v>
      </c>
      <c r="M68" s="461">
        <f ca="1">IFERROR(__xludf.DUMMYFUNCTION("IMPORTRANGE(""https://docs.google.com/spreadsheets/d/1-uDff_7J0KD5mKrp0Vvzr7lt3OU09vwQwhkpOPPYv2Y/edit?usp=sharing"",""งบพรบ!AI20"")"),0)</f>
        <v>0</v>
      </c>
      <c r="N68" s="461">
        <f ca="1">IFERROR(__xludf.DUMMYFUNCTION("IMPORTRANGE(""https://docs.google.com/spreadsheets/d/1-uDff_7J0KD5mKrp0Vvzr7lt3OU09vwQwhkpOPPYv2Y/edit?usp=sharing"",""งบพรบ!AK20"")"),0)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2</v>
      </c>
      <c r="J71" s="511">
        <f t="shared" si="41"/>
        <v>1</v>
      </c>
      <c r="K71" s="474">
        <f t="shared" ref="K71:K72" ca="1" si="42">IF(I71&gt;0,J71*100/I71,0)</f>
        <v>50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60</v>
      </c>
      <c r="J72" s="511">
        <f t="shared" si="41"/>
        <v>30</v>
      </c>
      <c r="K72" s="474">
        <f t="shared" ca="1" si="42"/>
        <v>50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560200</v>
      </c>
      <c r="M73" s="515">
        <f t="shared" ca="1" si="43"/>
        <v>559332</v>
      </c>
      <c r="N73" s="515">
        <f t="shared" ca="1" si="43"/>
        <v>336688.79</v>
      </c>
      <c r="O73" s="515">
        <f t="shared" ref="O73:O81" ca="1" si="44">IF(L73&gt;0,N73*100/L73,0)</f>
        <v>60.101533380935379</v>
      </c>
      <c r="P73" s="515">
        <f t="shared" ref="P73:P81" ca="1" si="45">IF(M73&gt;0,N73*100/M73,0)</f>
        <v>60.194802013830781</v>
      </c>
      <c r="Q73" s="515">
        <f t="shared" ref="Q73:S73" ca="1" si="46">Q74+Q75</f>
        <v>724430</v>
      </c>
      <c r="R73" s="515">
        <f t="shared" ca="1" si="46"/>
        <v>724430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560200</v>
      </c>
      <c r="M75" s="230">
        <f t="shared" ca="1" si="49"/>
        <v>559332</v>
      </c>
      <c r="N75" s="230">
        <f t="shared" ca="1" si="49"/>
        <v>336688.79</v>
      </c>
      <c r="O75" s="230">
        <f t="shared" ca="1" si="44"/>
        <v>60.101533380935379</v>
      </c>
      <c r="P75" s="230">
        <f t="shared" ca="1" si="45"/>
        <v>60.194802013830781</v>
      </c>
      <c r="Q75" s="230">
        <f t="shared" ca="1" si="50"/>
        <v>724430</v>
      </c>
      <c r="R75" s="230">
        <f t="shared" ca="1" si="50"/>
        <v>724430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560200</v>
      </c>
      <c r="M76" s="230">
        <f t="shared" ca="1" si="51"/>
        <v>559332</v>
      </c>
      <c r="N76" s="230">
        <f t="shared" ca="1" si="51"/>
        <v>336688.79</v>
      </c>
      <c r="O76" s="230">
        <f t="shared" ca="1" si="44"/>
        <v>60.101533380935379</v>
      </c>
      <c r="P76" s="230">
        <f t="shared" ca="1" si="45"/>
        <v>60.194802013830781</v>
      </c>
      <c r="Q76" s="230">
        <f t="shared" ref="Q76:S76" ca="1" si="52">Q77+Q78</f>
        <v>724430</v>
      </c>
      <c r="R76" s="230">
        <f t="shared" ca="1" si="52"/>
        <v>724430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IFERROR(__xludf.DUMMYFUNCTION("IMPORTRANGE(""https://docs.google.com/spreadsheets/d/1-uDff_7J0KD5mKrp0Vvzr7lt3OU09vwQwhkpOPPYv2Y/edit?usp=sharing"",""งบพรบ!AM20"")"),560200)</f>
        <v>560200</v>
      </c>
      <c r="M78" s="230">
        <f ca="1">IFERROR(__xludf.DUMMYFUNCTION("IMPORTRANGE(""https://docs.google.com/spreadsheets/d/1-uDff_7J0KD5mKrp0Vvzr7lt3OU09vwQwhkpOPPYv2Y/edit?usp=sharing"",""งบพรบ!AR20"")"),559332)</f>
        <v>559332</v>
      </c>
      <c r="N78" s="230">
        <f ca="1">IFERROR(__xludf.DUMMYFUNCTION("IMPORTRANGE(""https://docs.google.com/spreadsheets/d/1-uDff_7J0KD5mKrp0Vvzr7lt3OU09vwQwhkpOPPYv2Y/edit?usp=sharing"",""งบพรบ!AT20"")"),336688.79)</f>
        <v>336688.79</v>
      </c>
      <c r="O78" s="230">
        <f t="shared" ca="1" si="44"/>
        <v>60.101533380935379</v>
      </c>
      <c r="P78" s="230">
        <f t="shared" ca="1" si="45"/>
        <v>60.194802013830781</v>
      </c>
      <c r="Q78" s="230">
        <f ca="1">IFERROR(__xludf.DUMMYFUNCTION("IMPORTRANGE(""https://docs.google.com/spreadsheets/d/1ItG2mGa2ceCfYo0BwxsXqNm01IGEUdYcSSLTEv9YCik/edit?usp=sharing"",""เบิกจ่ายกองทุน!AS20"")"),724430)</f>
        <v>724430</v>
      </c>
      <c r="R78" s="230">
        <f ca="1">IFERROR(__xludf.DUMMYFUNCTION("IMPORTRANGE(""https://docs.google.com/spreadsheets/d/1ItG2mGa2ceCfYo0BwxsXqNm01IGEUdYcSSLTEv9YCik/edit?usp=sharing"",""เบิกจ่ายกองทุน!AT20"")"),724430)</f>
        <v>724430</v>
      </c>
      <c r="S78" s="230">
        <f ca="1">IFERROR(__xludf.DUMMYFUNCTION("IMPORTRANGE(""https://docs.google.com/spreadsheets/d/1ItG2mGa2ceCfYo0BwxsXqNm01IGEUdYcSSLTEv9YCik/edit?usp=sharing"",""เบิกจ่ายกองทุน!AU20"")"),0)</f>
        <v>0</v>
      </c>
      <c r="T78" s="230">
        <f t="shared" ca="1" si="47"/>
        <v>0</v>
      </c>
      <c r="U78" s="230">
        <f t="shared" ca="1" si="48"/>
        <v>0</v>
      </c>
    </row>
    <row r="79" spans="1:21" ht="18.75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IFERROR(__xludf.DUMMYFUNCTION("IMPORTRANGE(""https://docs.google.com/spreadsheets/d/1-uDff_7J0KD5mKrp0Vvzr7lt3OU09vwQwhkpOPPYv2Y/edit?usp=sharing"",""งบพรบ!AP20"")"),0)</f>
        <v>0</v>
      </c>
      <c r="M81" s="230">
        <f ca="1">IFERROR(__xludf.DUMMYFUNCTION("IMPORTRANGE(""https://docs.google.com/spreadsheets/d/1-uDff_7J0KD5mKrp0Vvzr7lt3OU09vwQwhkpOPPYv2Y/edit?usp=sharing"",""งบพรบ!AS20"")"),0)</f>
        <v>0</v>
      </c>
      <c r="N81" s="230">
        <f ca="1">IFERROR(__xludf.DUMMYFUNCTION("IMPORTRANGE(""https://docs.google.com/spreadsheets/d/1-uDff_7J0KD5mKrp0Vvzr7lt3OU09vwQwhkpOPPYv2Y/edit?usp=sharing"",""งบพรบ!AU20"")"),0)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2</v>
      </c>
      <c r="J83" s="340">
        <f t="shared" si="55"/>
        <v>1</v>
      </c>
      <c r="K83" s="518">
        <f t="shared" ref="K83:K91" ca="1" si="56">IF(I83&gt;0,J83*100/I83,0)</f>
        <v>50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60</v>
      </c>
      <c r="J84" s="340">
        <f t="shared" si="55"/>
        <v>30</v>
      </c>
      <c r="K84" s="518">
        <f t="shared" ca="1" si="56"/>
        <v>50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IFERROR(__xludf.DUMMYFUNCTION("IMPORTRANGE(""https://docs.google.com/spreadsheets/d/1eHaY18a8A9IcSdp1K8H6x8fbOy06t2VsZHhMHf-1x7Y/edit?usp=sharing"",""แผน!H20"")"),1)</f>
        <v>1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IFERROR(__xludf.DUMMYFUNCTION("IMPORTRANGE(""https://docs.google.com/spreadsheets/d/1eHaY18a8A9IcSdp1K8H6x8fbOy06t2VsZHhMHf-1x7Y/edit?usp=sharing"",""แผน!I20"")"),30)</f>
        <v>30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IFERROR(__xludf.DUMMYFUNCTION("IMPORTRANGE(""https://docs.google.com/spreadsheets/d/1eHaY18a8A9IcSdp1K8H6x8fbOy06t2VsZHhMHf-1x7Y/edit?usp=sharing"",""แผน!F20"")"),0)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IFERROR(__xludf.DUMMYFUNCTION("IMPORTRANGE(""https://docs.google.com/spreadsheets/d/1eHaY18a8A9IcSdp1K8H6x8fbOy06t2VsZHhMHf-1x7Y/edit?usp=sharing"",""แผน!G20"")"),0)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IFERROR(__xludf.DUMMYFUNCTION("IMPORTRANGE(""https://docs.google.com/spreadsheets/d/1eHaY18a8A9IcSdp1K8H6x8fbOy06t2VsZHhMHf-1x7Y/edit?usp=sharing"",""แผน!D20"")"),1)</f>
        <v>1</v>
      </c>
      <c r="J89" s="520">
        <v>1</v>
      </c>
      <c r="K89" s="521">
        <f t="shared" ca="1" si="56"/>
        <v>100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IFERROR(__xludf.DUMMYFUNCTION("IMPORTRANGE(""https://docs.google.com/spreadsheets/d/1eHaY18a8A9IcSdp1K8H6x8fbOy06t2VsZHhMHf-1x7Y/edit?usp=sharing"",""แผน!E20"")"),30)</f>
        <v>30</v>
      </c>
      <c r="J90" s="520">
        <v>30</v>
      </c>
      <c r="K90" s="521">
        <f t="shared" ca="1" si="56"/>
        <v>100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IFERROR(__xludf.DUMMYFUNCTION("IMPORTRANGE(""https://docs.google.com/spreadsheets/d/1eHaY18a8A9IcSdp1K8H6x8fbOy06t2VsZHhMHf-1x7Y/edit?usp=sharing"",""แผน!J20"")"),2)</f>
        <v>2</v>
      </c>
      <c r="J91" s="520">
        <v>1</v>
      </c>
      <c r="K91" s="521">
        <f t="shared" ca="1" si="56"/>
        <v>50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hidden="1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hidden="1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hidden="1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hidden="1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0</v>
      </c>
      <c r="R95" s="515">
        <f t="shared" ca="1" si="62"/>
        <v>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0</v>
      </c>
      <c r="R97" s="230">
        <f t="shared" ca="1" si="66"/>
        <v>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hidden="1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0</v>
      </c>
      <c r="R98" s="230">
        <f t="shared" ca="1" si="68"/>
        <v>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IFERROR(__xludf.DUMMYFUNCTION("IMPORTRANGE(""https://docs.google.com/spreadsheets/d/1-uDff_7J0KD5mKrp0Vvzr7lt3OU09vwQwhkpOPPYv2Y/edit?usp=sharing"",""งบพรบ!AW20"")"),0)</f>
        <v>0</v>
      </c>
      <c r="M100" s="230">
        <f ca="1">IFERROR(__xludf.DUMMYFUNCTION("IMPORTRANGE(""https://docs.google.com/spreadsheets/d/1-uDff_7J0KD5mKrp0Vvzr7lt3OU09vwQwhkpOPPYv2Y/edit?usp=sharing"",""งบพรบ!BB20"")"),0)</f>
        <v>0</v>
      </c>
      <c r="N100" s="230">
        <f ca="1">IFERROR(__xludf.DUMMYFUNCTION("IMPORTRANGE(""https://docs.google.com/spreadsheets/d/1-uDff_7J0KD5mKrp0Vvzr7lt3OU09vwQwhkpOPPYv2Y/edit?usp=sharing"",""งบพรบ!BD20"")"),0)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IFERROR(__xludf.DUMMYFUNCTION("IMPORTRANGE(""https://docs.google.com/spreadsheets/d/1ItG2mGa2ceCfYo0BwxsXqNm01IGEUdYcSSLTEv9YCik/edit?usp=sharing"",""เบิกจ่ายกองทุน!AD20"")"),0)</f>
        <v>0</v>
      </c>
      <c r="R100" s="230">
        <f ca="1">IFERROR(__xludf.DUMMYFUNCTION("IMPORTRANGE(""https://docs.google.com/spreadsheets/d/1ItG2mGa2ceCfYo0BwxsXqNm01IGEUdYcSSLTEv9YCik/edit?usp=sharing"",""เบิกจ่ายกองทุน!AE20"")"),0)</f>
        <v>0</v>
      </c>
      <c r="S100" s="230">
        <f ca="1">IFERROR(__xludf.DUMMYFUNCTION("IMPORTRANGE(""https://docs.google.com/spreadsheets/d/1ItG2mGa2ceCfYo0BwxsXqNm01IGEUdYcSSLTEv9YCik/edit?usp=sharing"",""เบิกจ่ายกองทุน!AF20"")"),0)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hidden="1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IFERROR(__xludf.DUMMYFUNCTION("IMPORTRANGE(""https://docs.google.com/spreadsheets/d/1-uDff_7J0KD5mKrp0Vvzr7lt3OU09vwQwhkpOPPYv2Y/edit?usp=sharing"",""งบพรบ!AZ20"")"),0)</f>
        <v>0</v>
      </c>
      <c r="M103" s="230">
        <f ca="1">IFERROR(__xludf.DUMMYFUNCTION("IMPORTRANGE(""https://docs.google.com/spreadsheets/d/1-uDff_7J0KD5mKrp0Vvzr7lt3OU09vwQwhkpOPPYv2Y/edit?usp=sharing"",""งบพรบ!BC20"")"),0)</f>
        <v>0</v>
      </c>
      <c r="N103" s="230">
        <f ca="1">IFERROR(__xludf.DUMMYFUNCTION("IMPORTRANGE(""https://docs.google.com/spreadsheets/d/1-uDff_7J0KD5mKrp0Vvzr7lt3OU09vwQwhkpOPPYv2Y/edit?usp=sharing"",""งบพรบ!BE20"")"),0)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hidden="1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hidden="1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IFERROR(__xludf.DUMMYFUNCTION("IMPORTRANGE(""https://docs.google.com/spreadsheets/d/1eHaY18a8A9IcSdp1K8H6x8fbOy06t2VsZHhMHf-1x7Y/edit?usp=sharing"",""แผน!N20"")"),0)</f>
        <v>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hidden="1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IFERROR(__xludf.DUMMYFUNCTION("IMPORTRANGE(""https://docs.google.com/spreadsheets/d/1eHaY18a8A9IcSdp1K8H6x8fbOy06t2VsZHhMHf-1x7Y/edit?usp=sharing"",""แผน!O20"")"),0)</f>
        <v>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2.75" hidden="1" x14ac:dyDescent="0.2">
      <c r="A114" s="160"/>
      <c r="B114" s="161"/>
      <c r="C114" s="161"/>
      <c r="D114" s="15"/>
      <c r="E114" s="15"/>
      <c r="F114" s="15"/>
      <c r="G114" s="16"/>
      <c r="H114" s="16"/>
      <c r="I114" s="17">
        <v>0</v>
      </c>
      <c r="J114" s="17">
        <v>0</v>
      </c>
      <c r="K114" s="18"/>
      <c r="L114" s="471"/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1:21" ht="18.75" hidden="1" x14ac:dyDescent="0.25">
      <c r="A115" s="136"/>
      <c r="B115" s="137"/>
      <c r="C115" s="137"/>
      <c r="D115" s="164" t="s">
        <v>50</v>
      </c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IFERROR(__xludf.DUMMYFUNCTION("IMPORTRANGE(""https://docs.google.com/spreadsheets/d/1eHaY18a8A9IcSdp1K8H6x8fbOy06t2VsZHhMHf-1x7Y/edit?usp=sharing"",""แผน!R20"")"),0)</f>
        <v>0</v>
      </c>
      <c r="J115" s="520">
        <v>0</v>
      </c>
      <c r="K115" s="230">
        <f ca="1">IF(I115&gt;0,J115*100/I115,0)</f>
        <v>0</v>
      </c>
      <c r="L115" s="484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2">I128</f>
        <v>60</v>
      </c>
      <c r="J117" s="511">
        <f t="shared" si="72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3">L119+L120</f>
        <v>0</v>
      </c>
      <c r="M118" s="515">
        <f t="shared" ca="1" si="73"/>
        <v>0</v>
      </c>
      <c r="N118" s="515">
        <f t="shared" ca="1" si="73"/>
        <v>0</v>
      </c>
      <c r="O118" s="515">
        <f t="shared" ref="O118:O126" ca="1" si="74">IF(L118&gt;0,N118*100/L118,0)</f>
        <v>0</v>
      </c>
      <c r="P118" s="515">
        <f t="shared" ref="P118:P126" ca="1" si="75">IF(M118&gt;0,N118*100/M118,0)</f>
        <v>0</v>
      </c>
      <c r="Q118" s="515">
        <f t="shared" ref="Q118:S118" ca="1" si="76">Q119+Q120</f>
        <v>322280</v>
      </c>
      <c r="R118" s="515">
        <f t="shared" ca="1" si="76"/>
        <v>322280</v>
      </c>
      <c r="S118" s="515">
        <f t="shared" ca="1" si="76"/>
        <v>7540</v>
      </c>
      <c r="T118" s="515">
        <f t="shared" ref="T118:T126" ca="1" si="77">IF(Q118&gt;0,S118*100/Q118,0)</f>
        <v>2.3395804890157628</v>
      </c>
      <c r="U118" s="515">
        <f t="shared" ref="U118:U126" ca="1" si="78">IF(R118&gt;0,S118*100/R118,0)</f>
        <v>2.3395804890157628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79">L122+L125</f>
        <v>0</v>
      </c>
      <c r="M119" s="80">
        <f t="shared" si="79"/>
        <v>0</v>
      </c>
      <c r="N119" s="80">
        <f t="shared" si="79"/>
        <v>0</v>
      </c>
      <c r="O119" s="80">
        <f t="shared" si="74"/>
        <v>0</v>
      </c>
      <c r="P119" s="80">
        <f t="shared" si="75"/>
        <v>0</v>
      </c>
      <c r="Q119" s="80">
        <f t="shared" ref="Q119:S120" si="80">Q122+Q125</f>
        <v>0</v>
      </c>
      <c r="R119" s="80">
        <f t="shared" si="80"/>
        <v>0</v>
      </c>
      <c r="S119" s="80">
        <f t="shared" si="80"/>
        <v>0</v>
      </c>
      <c r="T119" s="80">
        <f t="shared" si="77"/>
        <v>0</v>
      </c>
      <c r="U119" s="80">
        <f t="shared" si="78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79"/>
        <v>0</v>
      </c>
      <c r="M120" s="230">
        <f t="shared" ca="1" si="79"/>
        <v>0</v>
      </c>
      <c r="N120" s="230">
        <f t="shared" ca="1" si="79"/>
        <v>0</v>
      </c>
      <c r="O120" s="230">
        <f t="shared" ca="1" si="74"/>
        <v>0</v>
      </c>
      <c r="P120" s="230">
        <f t="shared" ca="1" si="75"/>
        <v>0</v>
      </c>
      <c r="Q120" s="230">
        <f t="shared" ca="1" si="80"/>
        <v>322280</v>
      </c>
      <c r="R120" s="230">
        <f t="shared" ca="1" si="80"/>
        <v>322280</v>
      </c>
      <c r="S120" s="230">
        <f t="shared" ca="1" si="80"/>
        <v>7540</v>
      </c>
      <c r="T120" s="230">
        <f t="shared" ca="1" si="77"/>
        <v>2.3395804890157628</v>
      </c>
      <c r="U120" s="230">
        <f t="shared" ca="1" si="78"/>
        <v>2.3395804890157628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1">L122+L123</f>
        <v>0</v>
      </c>
      <c r="M121" s="230">
        <f t="shared" ca="1" si="81"/>
        <v>0</v>
      </c>
      <c r="N121" s="230">
        <f t="shared" ca="1" si="81"/>
        <v>0</v>
      </c>
      <c r="O121" s="230">
        <f t="shared" ca="1" si="74"/>
        <v>0</v>
      </c>
      <c r="P121" s="230">
        <f t="shared" ca="1" si="75"/>
        <v>0</v>
      </c>
      <c r="Q121" s="230">
        <f t="shared" ref="Q121:S121" ca="1" si="82">Q122+Q123</f>
        <v>322280</v>
      </c>
      <c r="R121" s="230">
        <f t="shared" ca="1" si="82"/>
        <v>322280</v>
      </c>
      <c r="S121" s="230">
        <f t="shared" ca="1" si="82"/>
        <v>7540</v>
      </c>
      <c r="T121" s="230">
        <f t="shared" ca="1" si="77"/>
        <v>2.3395804890157628</v>
      </c>
      <c r="U121" s="230">
        <f t="shared" ca="1" si="78"/>
        <v>2.3395804890157628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4"/>
        <v>0</v>
      </c>
      <c r="P122" s="80">
        <f t="shared" si="75"/>
        <v>0</v>
      </c>
      <c r="Q122" s="80">
        <v>0</v>
      </c>
      <c r="R122" s="80">
        <v>0</v>
      </c>
      <c r="S122" s="80">
        <v>0</v>
      </c>
      <c r="T122" s="80">
        <f t="shared" si="77"/>
        <v>0</v>
      </c>
      <c r="U122" s="80">
        <f t="shared" si="78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IFERROR(__xludf.DUMMYFUNCTION("IMPORTRANGE(""https://docs.google.com/spreadsheets/d/1-uDff_7J0KD5mKrp0Vvzr7lt3OU09vwQwhkpOPPYv2Y/edit?usp=sharing"",""งบพรบ!BG20"")"),0)</f>
        <v>0</v>
      </c>
      <c r="M123" s="230">
        <f ca="1">IFERROR(__xludf.DUMMYFUNCTION("IMPORTRANGE(""https://docs.google.com/spreadsheets/d/1-uDff_7J0KD5mKrp0Vvzr7lt3OU09vwQwhkpOPPYv2Y/edit?usp=sharing"",""งบพรบ!BL20"")"),0)</f>
        <v>0</v>
      </c>
      <c r="N123" s="230">
        <f ca="1">IFERROR(__xludf.DUMMYFUNCTION("IMPORTRANGE(""https://docs.google.com/spreadsheets/d/1-uDff_7J0KD5mKrp0Vvzr7lt3OU09vwQwhkpOPPYv2Y/edit?usp=sharing"",""งบพรบ!BN20"")"),0)</f>
        <v>0</v>
      </c>
      <c r="O123" s="230">
        <f t="shared" ca="1" si="74"/>
        <v>0</v>
      </c>
      <c r="P123" s="230">
        <f t="shared" ca="1" si="75"/>
        <v>0</v>
      </c>
      <c r="Q123" s="230">
        <f ca="1">IFERROR(__xludf.DUMMYFUNCTION("IMPORTRANGE(""https://docs.google.com/spreadsheets/d/1ItG2mGa2ceCfYo0BwxsXqNm01IGEUdYcSSLTEv9YCik/edit?usp=sharing"",""เบิกจ่ายกองทุน!R20"")"),322280)</f>
        <v>322280</v>
      </c>
      <c r="R123" s="230">
        <f ca="1">IFERROR(__xludf.DUMMYFUNCTION("IMPORTRANGE(""https://docs.google.com/spreadsheets/d/1ItG2mGa2ceCfYo0BwxsXqNm01IGEUdYcSSLTEv9YCik/edit?usp=sharing"",""เบิกจ่ายกองทุน!S20"")"),322280)</f>
        <v>322280</v>
      </c>
      <c r="S123" s="230">
        <f ca="1">IFERROR(__xludf.DUMMYFUNCTION("IMPORTRANGE(""https://docs.google.com/spreadsheets/d/1ItG2mGa2ceCfYo0BwxsXqNm01IGEUdYcSSLTEv9YCik/edit?usp=sharing"",""เบิกจ่ายกองทุน!T20"")"),7540)</f>
        <v>7540</v>
      </c>
      <c r="T123" s="230">
        <f t="shared" ca="1" si="77"/>
        <v>2.3395804890157628</v>
      </c>
      <c r="U123" s="230">
        <f t="shared" ca="1" si="78"/>
        <v>2.3395804890157628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3">L125+L126</f>
        <v>0</v>
      </c>
      <c r="M124" s="230">
        <f t="shared" ca="1" si="83"/>
        <v>0</v>
      </c>
      <c r="N124" s="230">
        <f t="shared" ca="1" si="83"/>
        <v>0</v>
      </c>
      <c r="O124" s="230">
        <f t="shared" ca="1" si="74"/>
        <v>0</v>
      </c>
      <c r="P124" s="230">
        <f t="shared" ca="1" si="75"/>
        <v>0</v>
      </c>
      <c r="Q124" s="230">
        <f t="shared" ref="Q124:S124" si="84">Q125+Q126</f>
        <v>0</v>
      </c>
      <c r="R124" s="230">
        <f t="shared" si="84"/>
        <v>0</v>
      </c>
      <c r="S124" s="230">
        <f t="shared" si="84"/>
        <v>0</v>
      </c>
      <c r="T124" s="230">
        <f t="shared" si="77"/>
        <v>0</v>
      </c>
      <c r="U124" s="230">
        <f t="shared" si="78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4"/>
        <v>0</v>
      </c>
      <c r="P125" s="80">
        <f t="shared" si="75"/>
        <v>0</v>
      </c>
      <c r="Q125" s="80">
        <v>0</v>
      </c>
      <c r="R125" s="80">
        <v>0</v>
      </c>
      <c r="S125" s="80">
        <v>0</v>
      </c>
      <c r="T125" s="80">
        <f t="shared" si="77"/>
        <v>0</v>
      </c>
      <c r="U125" s="80">
        <f t="shared" si="78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IFERROR(__xludf.DUMMYFUNCTION("IMPORTRANGE(""https://docs.google.com/spreadsheets/d/1-uDff_7J0KD5mKrp0Vvzr7lt3OU09vwQwhkpOPPYv2Y/edit?usp=sharing"",""งบพรบ!BJ20"")"),0)</f>
        <v>0</v>
      </c>
      <c r="M126" s="230">
        <f ca="1">IFERROR(__xludf.DUMMYFUNCTION("IMPORTRANGE(""https://docs.google.com/spreadsheets/d/1-uDff_7J0KD5mKrp0Vvzr7lt3OU09vwQwhkpOPPYv2Y/edit?usp=sharing"",""งบพรบ!BM20"")"),0)</f>
        <v>0</v>
      </c>
      <c r="N126" s="230">
        <f ca="1">IFERROR(__xludf.DUMMYFUNCTION("IMPORTRANGE(""https://docs.google.com/spreadsheets/d/1-uDff_7J0KD5mKrp0Vvzr7lt3OU09vwQwhkpOPPYv2Y/edit?usp=sharing"",""งบพรบ!BO20"")"),0)</f>
        <v>0</v>
      </c>
      <c r="O126" s="230">
        <f t="shared" ca="1" si="74"/>
        <v>0</v>
      </c>
      <c r="P126" s="230">
        <f t="shared" ca="1" si="75"/>
        <v>0</v>
      </c>
      <c r="Q126" s="230">
        <v>0</v>
      </c>
      <c r="R126" s="230">
        <v>0</v>
      </c>
      <c r="S126" s="230">
        <v>0</v>
      </c>
      <c r="T126" s="230">
        <f t="shared" si="77"/>
        <v>0</v>
      </c>
      <c r="U126" s="230">
        <f t="shared" si="78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IFERROR(__xludf.DUMMYFUNCTION("IMPORTRANGE(""https://docs.google.com/spreadsheets/d/1eHaY18a8A9IcSdp1K8H6x8fbOy06t2VsZHhMHf-1x7Y/edit?usp=sharing"",""แผน!FF20"")"),60)</f>
        <v>60</v>
      </c>
      <c r="J128" s="520">
        <v>0</v>
      </c>
      <c r="K128" s="230">
        <f t="shared" ref="K128:K131" ca="1" si="85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IFERROR(__xludf.DUMMYFUNCTION("IMPORTRANGE(""https://docs.google.com/spreadsheets/d/1eHaY18a8A9IcSdp1K8H6x8fbOy06t2VsZHhMHf-1x7Y/edit?usp=sharing"",""แผน!FG20"")"),0)</f>
        <v>0</v>
      </c>
      <c r="J129" s="520">
        <v>0</v>
      </c>
      <c r="K129" s="230">
        <f t="shared" ca="1" si="85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IFERROR(__xludf.DUMMYFUNCTION("IMPORTRANGE(""https://docs.google.com/spreadsheets/d/1eHaY18a8A9IcSdp1K8H6x8fbOy06t2VsZHhMHf-1x7Y/edit?usp=sharing"",""แผน!FH20"")"),30)</f>
        <v>30</v>
      </c>
      <c r="J130" s="520">
        <v>0</v>
      </c>
      <c r="K130" s="230">
        <f t="shared" ca="1" si="85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IFERROR(__xludf.DUMMYFUNCTION("IMPORTRANGE(""https://docs.google.com/spreadsheets/d/1eHaY18a8A9IcSdp1K8H6x8fbOy06t2VsZHhMHf-1x7Y/edit?usp=sharing"",""แผน!FI20"")"),0)</f>
        <v>0</v>
      </c>
      <c r="J131" s="520">
        <v>0</v>
      </c>
      <c r="K131" s="230">
        <f t="shared" ca="1" si="85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6">I155</f>
        <v>2</v>
      </c>
      <c r="J137" s="511">
        <f t="shared" si="86"/>
        <v>0</v>
      </c>
      <c r="K137" s="474">
        <f t="shared" ref="K137:K139" ca="1" si="87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8">I153</f>
        <v>40</v>
      </c>
      <c r="J138" s="511">
        <f t="shared" si="88"/>
        <v>0</v>
      </c>
      <c r="K138" s="474">
        <f t="shared" ca="1" si="87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8"/>
        <v>4</v>
      </c>
      <c r="J139" s="511">
        <f t="shared" si="88"/>
        <v>0</v>
      </c>
      <c r="K139" s="474">
        <f t="shared" ca="1" si="87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89">L141+L142</f>
        <v>74800</v>
      </c>
      <c r="M140" s="515">
        <f t="shared" ca="1" si="89"/>
        <v>69800</v>
      </c>
      <c r="N140" s="515">
        <f t="shared" ca="1" si="89"/>
        <v>500</v>
      </c>
      <c r="O140" s="515">
        <f t="shared" ref="O140:O148" ca="1" si="90">IF(L140&gt;0,N140*100/L140,0)</f>
        <v>0.66844919786096257</v>
      </c>
      <c r="P140" s="515">
        <f t="shared" ref="P140:P148" ca="1" si="91">IF(M140&gt;0,N140*100/M140,0)</f>
        <v>0.71633237822349571</v>
      </c>
      <c r="Q140" s="515">
        <f t="shared" ref="Q140:S140" ca="1" si="92">Q141+Q142</f>
        <v>0</v>
      </c>
      <c r="R140" s="515">
        <f t="shared" ca="1" si="92"/>
        <v>0</v>
      </c>
      <c r="S140" s="515">
        <f t="shared" ca="1" si="92"/>
        <v>0</v>
      </c>
      <c r="T140" s="515">
        <f t="shared" ref="T140:T148" ca="1" si="93">IF(Q140&gt;0,S140*100/Q140,0)</f>
        <v>0</v>
      </c>
      <c r="U140" s="515">
        <f t="shared" ref="U140:U148" ca="1" si="94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5">L144+L147</f>
        <v>0</v>
      </c>
      <c r="M141" s="80">
        <f t="shared" si="95"/>
        <v>0</v>
      </c>
      <c r="N141" s="80">
        <f t="shared" si="95"/>
        <v>0</v>
      </c>
      <c r="O141" s="80">
        <f t="shared" si="90"/>
        <v>0</v>
      </c>
      <c r="P141" s="80">
        <f t="shared" si="91"/>
        <v>0</v>
      </c>
      <c r="Q141" s="80">
        <f t="shared" ref="Q141:S142" si="96">Q144+Q147</f>
        <v>0</v>
      </c>
      <c r="R141" s="80">
        <f t="shared" si="96"/>
        <v>0</v>
      </c>
      <c r="S141" s="80">
        <f t="shared" si="96"/>
        <v>0</v>
      </c>
      <c r="T141" s="80">
        <f t="shared" si="93"/>
        <v>0</v>
      </c>
      <c r="U141" s="80">
        <f t="shared" si="94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5"/>
        <v>74800</v>
      </c>
      <c r="M142" s="230">
        <f t="shared" ca="1" si="95"/>
        <v>69800</v>
      </c>
      <c r="N142" s="230">
        <f t="shared" ca="1" si="95"/>
        <v>500</v>
      </c>
      <c r="O142" s="230">
        <f t="shared" ca="1" si="90"/>
        <v>0.66844919786096257</v>
      </c>
      <c r="P142" s="230">
        <f t="shared" ca="1" si="91"/>
        <v>0.71633237822349571</v>
      </c>
      <c r="Q142" s="230">
        <f t="shared" ca="1" si="96"/>
        <v>0</v>
      </c>
      <c r="R142" s="230">
        <f t="shared" ca="1" si="96"/>
        <v>0</v>
      </c>
      <c r="S142" s="230">
        <f t="shared" ca="1" si="96"/>
        <v>0</v>
      </c>
      <c r="T142" s="230">
        <f t="shared" ca="1" si="93"/>
        <v>0</v>
      </c>
      <c r="U142" s="230">
        <f t="shared" ca="1" si="94"/>
        <v>0</v>
      </c>
    </row>
    <row r="143" spans="1:21" ht="18.75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7">L144+L145</f>
        <v>74800</v>
      </c>
      <c r="M143" s="230">
        <f t="shared" ca="1" si="97"/>
        <v>69800</v>
      </c>
      <c r="N143" s="230">
        <f t="shared" ca="1" si="97"/>
        <v>500</v>
      </c>
      <c r="O143" s="230">
        <f t="shared" ca="1" si="90"/>
        <v>0.66844919786096257</v>
      </c>
      <c r="P143" s="230">
        <f t="shared" ca="1" si="91"/>
        <v>0.71633237822349571</v>
      </c>
      <c r="Q143" s="230">
        <f t="shared" ref="Q143:S143" ca="1" si="98">Q144+Q145</f>
        <v>0</v>
      </c>
      <c r="R143" s="230">
        <f t="shared" ca="1" si="98"/>
        <v>0</v>
      </c>
      <c r="S143" s="230">
        <f t="shared" ca="1" si="98"/>
        <v>0</v>
      </c>
      <c r="T143" s="230">
        <f t="shared" ca="1" si="93"/>
        <v>0</v>
      </c>
      <c r="U143" s="230">
        <f t="shared" ca="1" si="94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0"/>
        <v>0</v>
      </c>
      <c r="P144" s="80">
        <f t="shared" si="91"/>
        <v>0</v>
      </c>
      <c r="Q144" s="80">
        <v>0</v>
      </c>
      <c r="R144" s="80">
        <v>0</v>
      </c>
      <c r="S144" s="80">
        <v>0</v>
      </c>
      <c r="T144" s="80">
        <f t="shared" si="93"/>
        <v>0</v>
      </c>
      <c r="U144" s="80">
        <f t="shared" si="94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IFERROR(__xludf.DUMMYFUNCTION("IMPORTRANGE(""https://docs.google.com/spreadsheets/d/1-uDff_7J0KD5mKrp0Vvzr7lt3OU09vwQwhkpOPPYv2Y/edit?usp=sharing"",""งบพรบ!BQ20"")"),74800)</f>
        <v>74800</v>
      </c>
      <c r="M145" s="230">
        <f ca="1">IFERROR(__xludf.DUMMYFUNCTION("IMPORTRANGE(""https://docs.google.com/spreadsheets/d/1-uDff_7J0KD5mKrp0Vvzr7lt3OU09vwQwhkpOPPYv2Y/edit?usp=sharing"",""งบพรบ!BV20"")"),69800)</f>
        <v>69800</v>
      </c>
      <c r="N145" s="230">
        <f ca="1">IFERROR(__xludf.DUMMYFUNCTION("IMPORTRANGE(""https://docs.google.com/spreadsheets/d/1-uDff_7J0KD5mKrp0Vvzr7lt3OU09vwQwhkpOPPYv2Y/edit?usp=sharing"",""งบพรบ!BX20"")"),500)</f>
        <v>500</v>
      </c>
      <c r="O145" s="230">
        <f t="shared" ca="1" si="90"/>
        <v>0.66844919786096257</v>
      </c>
      <c r="P145" s="230">
        <f t="shared" ca="1" si="91"/>
        <v>0.71633237822349571</v>
      </c>
      <c r="Q145" s="230">
        <f ca="1">IFERROR(__xludf.DUMMYFUNCTION("IMPORTRANGE(""https://docs.google.com/spreadsheets/d/1ItG2mGa2ceCfYo0BwxsXqNm01IGEUdYcSSLTEv9YCik/edit?usp=sharing"",""เบิกจ่ายกองทุน!BB20"")"),0)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IFERROR(__xludf.DUMMYFUNCTION("IMPORTRANGE(""https://docs.google.com/spreadsheets/d/1ItG2mGa2ceCfYo0BwxsXqNm01IGEUdYcSSLTEv9YCik/edit?usp=sharing"",""เบิกจ่ายกองทุน!BC20"")"),0)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IFERROR(__xludf.DUMMYFUNCTION("IMPORTRANGE(""https://docs.google.com/spreadsheets/d/1ItG2mGa2ceCfYo0BwxsXqNm01IGEUdYcSSLTEv9YCik/edit?usp=sharing"",""เบิกจ่ายกองทุน!BD20"")"),0)</f>
        <v>0</v>
      </c>
      <c r="T145" s="230">
        <f t="shared" ca="1" si="93"/>
        <v>0</v>
      </c>
      <c r="U145" s="230">
        <f t="shared" ca="1" si="94"/>
        <v>0</v>
      </c>
    </row>
    <row r="146" spans="1:21" ht="18.75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99">L147+L148</f>
        <v>0</v>
      </c>
      <c r="M146" s="230">
        <f t="shared" ca="1" si="99"/>
        <v>0</v>
      </c>
      <c r="N146" s="230">
        <f t="shared" ca="1" si="99"/>
        <v>0</v>
      </c>
      <c r="O146" s="230">
        <f t="shared" ca="1" si="90"/>
        <v>0</v>
      </c>
      <c r="P146" s="230">
        <f t="shared" ca="1" si="91"/>
        <v>0</v>
      </c>
      <c r="Q146" s="230">
        <f t="shared" ref="Q146:S146" si="100">Q147+Q148</f>
        <v>0</v>
      </c>
      <c r="R146" s="230">
        <f t="shared" si="100"/>
        <v>0</v>
      </c>
      <c r="S146" s="230">
        <f t="shared" si="100"/>
        <v>0</v>
      </c>
      <c r="T146" s="230">
        <f t="shared" si="93"/>
        <v>0</v>
      </c>
      <c r="U146" s="230">
        <f t="shared" si="94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0"/>
        <v>0</v>
      </c>
      <c r="P147" s="80">
        <f t="shared" si="91"/>
        <v>0</v>
      </c>
      <c r="Q147" s="80">
        <v>0</v>
      </c>
      <c r="R147" s="80">
        <v>0</v>
      </c>
      <c r="S147" s="80">
        <v>0</v>
      </c>
      <c r="T147" s="80">
        <f t="shared" si="93"/>
        <v>0</v>
      </c>
      <c r="U147" s="80">
        <f t="shared" si="94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IFERROR(__xludf.DUMMYFUNCTION("IMPORTRANGE(""https://docs.google.com/spreadsheets/d/1-uDff_7J0KD5mKrp0Vvzr7lt3OU09vwQwhkpOPPYv2Y/edit?usp=sharing"",""งบพรบ!BT20"")"),0)</f>
        <v>0</v>
      </c>
      <c r="M148" s="230">
        <f ca="1">IFERROR(__xludf.DUMMYFUNCTION("IMPORTRANGE(""https://docs.google.com/spreadsheets/d/1-uDff_7J0KD5mKrp0Vvzr7lt3OU09vwQwhkpOPPYv2Y/edit?usp=sharing"",""งบพรบ!BW20"")"),0)</f>
        <v>0</v>
      </c>
      <c r="N148" s="230">
        <f ca="1">IFERROR(__xludf.DUMMYFUNCTION("IMPORTRANGE(""https://docs.google.com/spreadsheets/d/1-uDff_7J0KD5mKrp0Vvzr7lt3OU09vwQwhkpOPPYv2Y/edit?usp=sharing"",""งบพรบ!BY20"")"),0)</f>
        <v>0</v>
      </c>
      <c r="O148" s="230">
        <f t="shared" ca="1" si="90"/>
        <v>0</v>
      </c>
      <c r="P148" s="230">
        <f t="shared" ca="1" si="91"/>
        <v>0</v>
      </c>
      <c r="Q148" s="230">
        <v>0</v>
      </c>
      <c r="R148" s="230">
        <v>0</v>
      </c>
      <c r="S148" s="230">
        <v>0</v>
      </c>
      <c r="T148" s="230">
        <f t="shared" si="93"/>
        <v>0</v>
      </c>
      <c r="U148" s="230">
        <f t="shared" si="94"/>
        <v>0</v>
      </c>
    </row>
    <row r="149" spans="1:21" ht="19.5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IFERROR(__xludf.DUMMYFUNCTION("IMPORTRANGE(""https://docs.google.com/spreadsheets/d/1eHaY18a8A9IcSdp1K8H6x8fbOy06t2VsZHhMHf-1x7Y/edit?usp=sharing"",""แผน!U20"")"),20)</f>
        <v>20</v>
      </c>
      <c r="J151" s="520">
        <v>0</v>
      </c>
      <c r="K151" s="230">
        <f t="shared" ref="K151:K155" ca="1" si="101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IFERROR(__xludf.DUMMYFUNCTION("IMPORTRANGE(""https://docs.google.com/spreadsheets/d/1eHaY18a8A9IcSdp1K8H6x8fbOy06t2VsZHhMHf-1x7Y/edit?usp=sharing"",""แผน!V20"")"),2)</f>
        <v>2</v>
      </c>
      <c r="J152" s="520">
        <v>0</v>
      </c>
      <c r="K152" s="230">
        <f t="shared" ca="1" si="101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IFERROR(__xludf.DUMMYFUNCTION("IMPORTRANGE(""https://docs.google.com/spreadsheets/d/1eHaY18a8A9IcSdp1K8H6x8fbOy06t2VsZHhMHf-1x7Y/edit?usp=sharing"",""แผน!W20"")"),40)</f>
        <v>40</v>
      </c>
      <c r="J153" s="520">
        <v>0</v>
      </c>
      <c r="K153" s="230">
        <f t="shared" ca="1" si="101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IFERROR(__xludf.DUMMYFUNCTION("IMPORTRANGE(""https://docs.google.com/spreadsheets/d/1eHaY18a8A9IcSdp1K8H6x8fbOy06t2VsZHhMHf-1x7Y/edit?usp=sharing"",""แผน!X20"")"),4)</f>
        <v>4</v>
      </c>
      <c r="J154" s="520">
        <v>0</v>
      </c>
      <c r="K154" s="230">
        <f t="shared" ca="1" si="101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IFERROR(__xludf.DUMMYFUNCTION("IMPORTRANGE(""https://docs.google.com/spreadsheets/d/1eHaY18a8A9IcSdp1K8H6x8fbOy06t2VsZHhMHf-1x7Y/edit?usp=sharing"",""แผน!Y20"")"),2)</f>
        <v>2</v>
      </c>
      <c r="J155" s="520">
        <v>0</v>
      </c>
      <c r="K155" s="230">
        <f t="shared" ca="1" si="101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2">I168</f>
        <v>10</v>
      </c>
      <c r="J157" s="511">
        <f t="shared" si="102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3">L159+L160</f>
        <v>3000</v>
      </c>
      <c r="M158" s="515">
        <f t="shared" ca="1" si="103"/>
        <v>2250</v>
      </c>
      <c r="N158" s="515">
        <f t="shared" ca="1" si="103"/>
        <v>0</v>
      </c>
      <c r="O158" s="515">
        <f t="shared" ref="O158:O166" ca="1" si="104">IF(L158&gt;0,N158*100/L158,0)</f>
        <v>0</v>
      </c>
      <c r="P158" s="515">
        <f t="shared" ref="P158:P166" ca="1" si="105">IF(M158&gt;0,N158*100/M158,0)</f>
        <v>0</v>
      </c>
      <c r="Q158" s="515">
        <f t="shared" ref="Q158:S158" ca="1" si="106">Q159+Q160</f>
        <v>0</v>
      </c>
      <c r="R158" s="515">
        <f t="shared" ca="1" si="106"/>
        <v>0</v>
      </c>
      <c r="S158" s="515">
        <f t="shared" ca="1" si="106"/>
        <v>0</v>
      </c>
      <c r="T158" s="515">
        <f t="shared" ref="T158:T166" ca="1" si="107">IF(Q158&gt;0,S158*100/Q158,0)</f>
        <v>0</v>
      </c>
      <c r="U158" s="515">
        <f t="shared" ref="U158:U166" ca="1" si="108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09">L162+L165</f>
        <v>0</v>
      </c>
      <c r="M159" s="80">
        <f t="shared" si="109"/>
        <v>0</v>
      </c>
      <c r="N159" s="80">
        <f t="shared" si="109"/>
        <v>0</v>
      </c>
      <c r="O159" s="80">
        <f t="shared" si="104"/>
        <v>0</v>
      </c>
      <c r="P159" s="80">
        <f t="shared" si="105"/>
        <v>0</v>
      </c>
      <c r="Q159" s="80">
        <f t="shared" ref="Q159:S160" si="110">Q162+Q165</f>
        <v>0</v>
      </c>
      <c r="R159" s="80">
        <f t="shared" si="110"/>
        <v>0</v>
      </c>
      <c r="S159" s="80">
        <f t="shared" si="110"/>
        <v>0</v>
      </c>
      <c r="T159" s="80">
        <f t="shared" si="107"/>
        <v>0</v>
      </c>
      <c r="U159" s="80">
        <f t="shared" si="108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09"/>
        <v>3000</v>
      </c>
      <c r="M160" s="230">
        <f t="shared" ca="1" si="109"/>
        <v>2250</v>
      </c>
      <c r="N160" s="230">
        <f t="shared" ca="1" si="109"/>
        <v>0</v>
      </c>
      <c r="O160" s="230">
        <f t="shared" ca="1" si="104"/>
        <v>0</v>
      </c>
      <c r="P160" s="230">
        <f t="shared" ca="1" si="105"/>
        <v>0</v>
      </c>
      <c r="Q160" s="230">
        <f t="shared" ca="1" si="110"/>
        <v>0</v>
      </c>
      <c r="R160" s="230">
        <f t="shared" ca="1" si="110"/>
        <v>0</v>
      </c>
      <c r="S160" s="230">
        <f t="shared" ca="1" si="110"/>
        <v>0</v>
      </c>
      <c r="T160" s="230">
        <f t="shared" ca="1" si="107"/>
        <v>0</v>
      </c>
      <c r="U160" s="230">
        <f t="shared" ca="1" si="108"/>
        <v>0</v>
      </c>
    </row>
    <row r="161" spans="1:21" ht="18.75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1">L162+L163</f>
        <v>3000</v>
      </c>
      <c r="M161" s="230">
        <f t="shared" ca="1" si="111"/>
        <v>2250</v>
      </c>
      <c r="N161" s="230">
        <f t="shared" ca="1" si="111"/>
        <v>0</v>
      </c>
      <c r="O161" s="230">
        <f t="shared" ca="1" si="104"/>
        <v>0</v>
      </c>
      <c r="P161" s="230">
        <f t="shared" ca="1" si="105"/>
        <v>0</v>
      </c>
      <c r="Q161" s="230">
        <f t="shared" ref="Q161:S161" ca="1" si="112">Q162+Q163</f>
        <v>0</v>
      </c>
      <c r="R161" s="230">
        <f t="shared" ca="1" si="112"/>
        <v>0</v>
      </c>
      <c r="S161" s="230">
        <f t="shared" ca="1" si="112"/>
        <v>0</v>
      </c>
      <c r="T161" s="230">
        <f t="shared" ca="1" si="107"/>
        <v>0</v>
      </c>
      <c r="U161" s="230">
        <f t="shared" ca="1" si="108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4"/>
        <v>0</v>
      </c>
      <c r="P162" s="80">
        <f t="shared" si="105"/>
        <v>0</v>
      </c>
      <c r="Q162" s="80">
        <v>0</v>
      </c>
      <c r="R162" s="80">
        <v>0</v>
      </c>
      <c r="S162" s="80">
        <v>0</v>
      </c>
      <c r="T162" s="80">
        <f t="shared" si="107"/>
        <v>0</v>
      </c>
      <c r="U162" s="80">
        <f t="shared" si="108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IFERROR(__xludf.DUMMYFUNCTION("IMPORTRANGE(""https://docs.google.com/spreadsheets/d/1-uDff_7J0KD5mKrp0Vvzr7lt3OU09vwQwhkpOPPYv2Y/edit?usp=sharing"",""งบพรบ!CA20"")"),3000)</f>
        <v>3000</v>
      </c>
      <c r="M163" s="230">
        <f ca="1">IFERROR(__xludf.DUMMYFUNCTION("IMPORTRANGE(""https://docs.google.com/spreadsheets/d/1-uDff_7J0KD5mKrp0Vvzr7lt3OU09vwQwhkpOPPYv2Y/edit?usp=sharing"",""งบพรบ!CF20"")"),2250)</f>
        <v>2250</v>
      </c>
      <c r="N163" s="230">
        <f ca="1">IFERROR(__xludf.DUMMYFUNCTION("IMPORTRANGE(""https://docs.google.com/spreadsheets/d/1-uDff_7J0KD5mKrp0Vvzr7lt3OU09vwQwhkpOPPYv2Y/edit?usp=sharing"",""งบพรบ!CH20"")"),0)</f>
        <v>0</v>
      </c>
      <c r="O163" s="230">
        <f t="shared" ca="1" si="104"/>
        <v>0</v>
      </c>
      <c r="P163" s="230">
        <f t="shared" ca="1" si="105"/>
        <v>0</v>
      </c>
      <c r="Q163" s="230">
        <f ca="1">IFERROR(__xludf.DUMMYFUNCTION("IMPORTRANGE(""https://docs.google.com/spreadsheets/d/1ItG2mGa2ceCfYo0BwxsXqNm01IGEUdYcSSLTEv9YCik/edit?usp=sharing"",""เบิกจ่ายกองทุน!AG20"")"),0)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IFERROR(__xludf.DUMMYFUNCTION("IMPORTRANGE(""https://docs.google.com/spreadsheets/d/1ItG2mGa2ceCfYo0BwxsXqNm01IGEUdYcSSLTEv9YCik/edit?usp=sharing"",""เบิกจ่ายกองทุน!AH20"")"),0)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IFERROR(__xludf.DUMMYFUNCTION("IMPORTRANGE(""https://docs.google.com/spreadsheets/d/1ItG2mGa2ceCfYo0BwxsXqNm01IGEUdYcSSLTEv9YCik/edit?usp=sharing"",""เบิกจ่ายกองทุน!AI20"")"),0)</f>
        <v>0</v>
      </c>
      <c r="T163" s="230">
        <f t="shared" ca="1" si="107"/>
        <v>0</v>
      </c>
      <c r="U163" s="230">
        <f t="shared" ca="1" si="108"/>
        <v>0</v>
      </c>
    </row>
    <row r="164" spans="1:21" ht="18.75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3">L165+L166</f>
        <v>0</v>
      </c>
      <c r="M164" s="230">
        <f t="shared" ca="1" si="113"/>
        <v>0</v>
      </c>
      <c r="N164" s="230">
        <f t="shared" ca="1" si="113"/>
        <v>0</v>
      </c>
      <c r="O164" s="230">
        <f t="shared" ca="1" si="104"/>
        <v>0</v>
      </c>
      <c r="P164" s="230">
        <f t="shared" ca="1" si="105"/>
        <v>0</v>
      </c>
      <c r="Q164" s="230">
        <f t="shared" ref="Q164:S164" si="114">Q165+Q166</f>
        <v>0</v>
      </c>
      <c r="R164" s="230">
        <f t="shared" si="114"/>
        <v>0</v>
      </c>
      <c r="S164" s="230">
        <f t="shared" si="114"/>
        <v>0</v>
      </c>
      <c r="T164" s="230">
        <f t="shared" si="107"/>
        <v>0</v>
      </c>
      <c r="U164" s="230">
        <f t="shared" si="108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4"/>
        <v>0</v>
      </c>
      <c r="P165" s="80">
        <f t="shared" si="105"/>
        <v>0</v>
      </c>
      <c r="Q165" s="80">
        <v>0</v>
      </c>
      <c r="R165" s="80">
        <v>0</v>
      </c>
      <c r="S165" s="80">
        <v>0</v>
      </c>
      <c r="T165" s="80">
        <f t="shared" si="107"/>
        <v>0</v>
      </c>
      <c r="U165" s="80">
        <f t="shared" si="108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IFERROR(__xludf.DUMMYFUNCTION("IMPORTRANGE(""https://docs.google.com/spreadsheets/d/1-uDff_7J0KD5mKrp0Vvzr7lt3OU09vwQwhkpOPPYv2Y/edit?usp=sharing"",""งบพรบ!CD20"")"),0)</f>
        <v>0</v>
      </c>
      <c r="M166" s="230">
        <f ca="1">IFERROR(__xludf.DUMMYFUNCTION("IMPORTRANGE(""https://docs.google.com/spreadsheets/d/1-uDff_7J0KD5mKrp0Vvzr7lt3OU09vwQwhkpOPPYv2Y/edit?usp=sharing"",""งบพรบ!CG20"")"),0)</f>
        <v>0</v>
      </c>
      <c r="N166" s="230">
        <f ca="1">IFERROR(__xludf.DUMMYFUNCTION("IMPORTRANGE(""https://docs.google.com/spreadsheets/d/1-uDff_7J0KD5mKrp0Vvzr7lt3OU09vwQwhkpOPPYv2Y/edit?usp=sharing"",""งบพรบ!CI20"")"),0)</f>
        <v>0</v>
      </c>
      <c r="O166" s="230">
        <f t="shared" ca="1" si="104"/>
        <v>0</v>
      </c>
      <c r="P166" s="230">
        <f t="shared" ca="1" si="105"/>
        <v>0</v>
      </c>
      <c r="Q166" s="230">
        <v>0</v>
      </c>
      <c r="R166" s="230">
        <v>0</v>
      </c>
      <c r="S166" s="230">
        <v>0</v>
      </c>
      <c r="T166" s="230">
        <f t="shared" si="107"/>
        <v>0</v>
      </c>
      <c r="U166" s="230">
        <f t="shared" si="108"/>
        <v>0</v>
      </c>
    </row>
    <row r="167" spans="1:21" ht="19.5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IFERROR(__xludf.DUMMYFUNCTION("IMPORTRANGE(""https://docs.google.com/spreadsheets/d/1eHaY18a8A9IcSdp1K8H6x8fbOy06t2VsZHhMHf-1x7Y/edit?usp=sharing"",""แผน!Z20"")"),10)</f>
        <v>10</v>
      </c>
      <c r="J168" s="520">
        <v>0</v>
      </c>
      <c r="K168" s="230">
        <f t="shared" ref="K168:K170" ca="1" si="115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I168</f>
        <v>10</v>
      </c>
      <c r="J169" s="529">
        <v>0</v>
      </c>
      <c r="K169" s="80">
        <f t="shared" ca="1" si="115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I168</f>
        <v>10</v>
      </c>
      <c r="J170" s="531">
        <v>0</v>
      </c>
      <c r="K170" s="532">
        <f t="shared" ca="1" si="115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6">I184+I185</f>
        <v>7</v>
      </c>
      <c r="J173" s="534">
        <f t="shared" si="116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7">L175+L176</f>
        <v>19590</v>
      </c>
      <c r="M174" s="515">
        <f t="shared" ca="1" si="117"/>
        <v>86150</v>
      </c>
      <c r="N174" s="515">
        <f t="shared" ca="1" si="117"/>
        <v>49381</v>
      </c>
      <c r="O174" s="515">
        <f t="shared" ref="O174:O182" ca="1" si="118">IF(L174&gt;0,N174*100/L174,0)</f>
        <v>252.07248596222561</v>
      </c>
      <c r="P174" s="515">
        <f t="shared" ref="P174:P182" ca="1" si="119">IF(M174&gt;0,N174*100/M174,0)</f>
        <v>57.31979106210099</v>
      </c>
      <c r="Q174" s="515">
        <f t="shared" ref="Q174:S174" ca="1" si="120">Q175+Q176</f>
        <v>0</v>
      </c>
      <c r="R174" s="515">
        <f t="shared" ca="1" si="120"/>
        <v>0</v>
      </c>
      <c r="S174" s="515">
        <f t="shared" ca="1" si="120"/>
        <v>0</v>
      </c>
      <c r="T174" s="515">
        <f t="shared" ref="T174:T182" ca="1" si="121">IF(Q174&gt;0,S174*100/Q174,0)</f>
        <v>0</v>
      </c>
      <c r="U174" s="515">
        <f t="shared" ref="U174:U182" ca="1" si="122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3">L178+L181</f>
        <v>0</v>
      </c>
      <c r="M175" s="80">
        <f t="shared" si="123"/>
        <v>0</v>
      </c>
      <c r="N175" s="80">
        <f t="shared" si="123"/>
        <v>0</v>
      </c>
      <c r="O175" s="80">
        <f t="shared" si="118"/>
        <v>0</v>
      </c>
      <c r="P175" s="80">
        <f t="shared" si="119"/>
        <v>0</v>
      </c>
      <c r="Q175" s="80">
        <f t="shared" ref="Q175:S176" si="124">Q178+Q181</f>
        <v>0</v>
      </c>
      <c r="R175" s="80">
        <f t="shared" si="124"/>
        <v>0</v>
      </c>
      <c r="S175" s="80">
        <f t="shared" si="124"/>
        <v>0</v>
      </c>
      <c r="T175" s="80">
        <f t="shared" si="121"/>
        <v>0</v>
      </c>
      <c r="U175" s="80">
        <f t="shared" si="122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3"/>
        <v>19590</v>
      </c>
      <c r="M176" s="230">
        <f t="shared" ca="1" si="123"/>
        <v>86150</v>
      </c>
      <c r="N176" s="230">
        <f t="shared" ca="1" si="123"/>
        <v>49381</v>
      </c>
      <c r="O176" s="230">
        <f t="shared" ca="1" si="118"/>
        <v>252.07248596222561</v>
      </c>
      <c r="P176" s="230">
        <f t="shared" ca="1" si="119"/>
        <v>57.31979106210099</v>
      </c>
      <c r="Q176" s="230">
        <f t="shared" ca="1" si="124"/>
        <v>0</v>
      </c>
      <c r="R176" s="230">
        <f t="shared" ca="1" si="124"/>
        <v>0</v>
      </c>
      <c r="S176" s="230">
        <f t="shared" ca="1" si="124"/>
        <v>0</v>
      </c>
      <c r="T176" s="230">
        <f t="shared" ca="1" si="121"/>
        <v>0</v>
      </c>
      <c r="U176" s="230">
        <f t="shared" ca="1" si="122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5">L178+L179</f>
        <v>19590</v>
      </c>
      <c r="M177" s="230">
        <f t="shared" ca="1" si="125"/>
        <v>86150</v>
      </c>
      <c r="N177" s="230">
        <f t="shared" ca="1" si="125"/>
        <v>49381</v>
      </c>
      <c r="O177" s="230">
        <f t="shared" ca="1" si="118"/>
        <v>252.07248596222561</v>
      </c>
      <c r="P177" s="230">
        <f t="shared" ca="1" si="119"/>
        <v>57.31979106210099</v>
      </c>
      <c r="Q177" s="230">
        <f t="shared" ref="Q177:S177" ca="1" si="126">Q178+Q179</f>
        <v>0</v>
      </c>
      <c r="R177" s="230">
        <f t="shared" ca="1" si="126"/>
        <v>0</v>
      </c>
      <c r="S177" s="230">
        <f t="shared" ca="1" si="126"/>
        <v>0</v>
      </c>
      <c r="T177" s="230">
        <f t="shared" ca="1" si="121"/>
        <v>0</v>
      </c>
      <c r="U177" s="230">
        <f t="shared" ca="1" si="122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8"/>
        <v>0</v>
      </c>
      <c r="P178" s="80">
        <f t="shared" si="119"/>
        <v>0</v>
      </c>
      <c r="Q178" s="80">
        <v>0</v>
      </c>
      <c r="R178" s="80">
        <v>0</v>
      </c>
      <c r="S178" s="80">
        <v>0</v>
      </c>
      <c r="T178" s="80">
        <f t="shared" si="121"/>
        <v>0</v>
      </c>
      <c r="U178" s="80">
        <f t="shared" si="122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IFERROR(__xludf.DUMMYFUNCTION("IMPORTRANGE(""https://docs.google.com/spreadsheets/d/1-uDff_7J0KD5mKrp0Vvzr7lt3OU09vwQwhkpOPPYv2Y/edit?usp=sharing"",""งบพรบ!CK20"")"),19590)</f>
        <v>19590</v>
      </c>
      <c r="M179" s="230">
        <f ca="1">IFERROR(__xludf.DUMMYFUNCTION("IMPORTRANGE(""https://docs.google.com/spreadsheets/d/1-uDff_7J0KD5mKrp0Vvzr7lt3OU09vwQwhkpOPPYv2Y/edit?usp=sharing"",""งบพรบ!CP20"")"),86150)</f>
        <v>86150</v>
      </c>
      <c r="N179" s="230">
        <f ca="1">IFERROR(__xludf.DUMMYFUNCTION("IMPORTRANGE(""https://docs.google.com/spreadsheets/d/1-uDff_7J0KD5mKrp0Vvzr7lt3OU09vwQwhkpOPPYv2Y/edit?usp=sharing"",""งบพรบ!CR20"")"),49381)</f>
        <v>49381</v>
      </c>
      <c r="O179" s="230">
        <f t="shared" ca="1" si="118"/>
        <v>252.07248596222561</v>
      </c>
      <c r="P179" s="230">
        <f t="shared" ca="1" si="119"/>
        <v>57.31979106210099</v>
      </c>
      <c r="Q179" s="230">
        <f ca="1">IFERROR(__xludf.DUMMYFUNCTION("IMPORTRANGE(""https://docs.google.com/spreadsheets/d/1ItG2mGa2ceCfYo0BwxsXqNm01IGEUdYcSSLTEv9YCik/edit?usp=sharing"",""เบิกจ่ายกองทุน!BE20"")"),0)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IFERROR(__xludf.DUMMYFUNCTION("IMPORTRANGE(""https://docs.google.com/spreadsheets/d/1ItG2mGa2ceCfYo0BwxsXqNm01IGEUdYcSSLTEv9YCik/edit?usp=sharing"",""เบิกจ่ายกองทุน!BF20"")"),0)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IFERROR(__xludf.DUMMYFUNCTION("IMPORTRANGE(""https://docs.google.com/spreadsheets/d/1ItG2mGa2ceCfYo0BwxsXqNm01IGEUdYcSSLTEv9YCik/edit?usp=sharing"",""เบิกจ่ายกองทุน!BG20"")"),0)</f>
        <v>0</v>
      </c>
      <c r="T179" s="230">
        <f t="shared" ca="1" si="121"/>
        <v>0</v>
      </c>
      <c r="U179" s="230">
        <f t="shared" ca="1" si="122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7">L181+L182</f>
        <v>0</v>
      </c>
      <c r="M180" s="230">
        <f t="shared" ca="1" si="127"/>
        <v>0</v>
      </c>
      <c r="N180" s="230">
        <f t="shared" ca="1" si="127"/>
        <v>0</v>
      </c>
      <c r="O180" s="230">
        <f t="shared" ca="1" si="118"/>
        <v>0</v>
      </c>
      <c r="P180" s="230">
        <f t="shared" ca="1" si="119"/>
        <v>0</v>
      </c>
      <c r="Q180" s="230">
        <f t="shared" ref="Q180:S180" si="128">Q181+Q182</f>
        <v>0</v>
      </c>
      <c r="R180" s="230">
        <f t="shared" si="128"/>
        <v>0</v>
      </c>
      <c r="S180" s="230">
        <f t="shared" si="128"/>
        <v>0</v>
      </c>
      <c r="T180" s="230">
        <f t="shared" si="121"/>
        <v>0</v>
      </c>
      <c r="U180" s="230">
        <f t="shared" si="122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8"/>
        <v>0</v>
      </c>
      <c r="P181" s="80">
        <f t="shared" si="119"/>
        <v>0</v>
      </c>
      <c r="Q181" s="80">
        <v>0</v>
      </c>
      <c r="R181" s="80">
        <v>0</v>
      </c>
      <c r="S181" s="80">
        <v>0</v>
      </c>
      <c r="T181" s="80">
        <f t="shared" si="121"/>
        <v>0</v>
      </c>
      <c r="U181" s="80">
        <f t="shared" si="122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IFERROR(__xludf.DUMMYFUNCTION("IMPORTRANGE(""https://docs.google.com/spreadsheets/d/1-uDff_7J0KD5mKrp0Vvzr7lt3OU09vwQwhkpOPPYv2Y/edit?usp=sharing"",""งบพรบ!CN20"")"),0)</f>
        <v>0</v>
      </c>
      <c r="M182" s="230">
        <f ca="1">IFERROR(__xludf.DUMMYFUNCTION("IMPORTRANGE(""https://docs.google.com/spreadsheets/d/1-uDff_7J0KD5mKrp0Vvzr7lt3OU09vwQwhkpOPPYv2Y/edit?usp=sharing"",""งบพรบ!CQ20"")"),0)</f>
        <v>0</v>
      </c>
      <c r="N182" s="230">
        <f ca="1">IFERROR(__xludf.DUMMYFUNCTION("IMPORTRANGE(""https://docs.google.com/spreadsheets/d/1-uDff_7J0KD5mKrp0Vvzr7lt3OU09vwQwhkpOPPYv2Y/edit?usp=sharing"",""งบพรบ!CS20"")"),0)</f>
        <v>0</v>
      </c>
      <c r="O182" s="230">
        <f t="shared" ca="1" si="118"/>
        <v>0</v>
      </c>
      <c r="P182" s="230">
        <f t="shared" ca="1" si="119"/>
        <v>0</v>
      </c>
      <c r="Q182" s="230">
        <v>0</v>
      </c>
      <c r="R182" s="230">
        <v>0</v>
      </c>
      <c r="S182" s="230">
        <v>0</v>
      </c>
      <c r="T182" s="230">
        <f t="shared" si="121"/>
        <v>0</v>
      </c>
      <c r="U182" s="230">
        <f t="shared" si="122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IFERROR(__xludf.DUMMYFUNCTION("IMPORTRANGE(""https://docs.google.com/spreadsheets/d/1eHaY18a8A9IcSdp1K8H6x8fbOy06t2VsZHhMHf-1x7Y/edit?usp=sharing"",""แผน!AA20"")"),7)</f>
        <v>7</v>
      </c>
      <c r="J184" s="520">
        <v>7</v>
      </c>
      <c r="K184" s="230">
        <f t="shared" ref="K184:K186" ca="1" si="129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29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0">I231+I232</f>
        <v>40</v>
      </c>
      <c r="J186" s="534">
        <f t="shared" si="130"/>
        <v>0</v>
      </c>
      <c r="K186" s="535">
        <f t="shared" ca="1" si="129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1">L188+L189</f>
        <v>305900</v>
      </c>
      <c r="M187" s="515">
        <f t="shared" ca="1" si="131"/>
        <v>186900</v>
      </c>
      <c r="N187" s="515">
        <f t="shared" ca="1" si="131"/>
        <v>62098</v>
      </c>
      <c r="O187" s="515">
        <f t="shared" ref="O187:O195" ca="1" si="132">IF(L187&gt;0,N187*100/L187,0)</f>
        <v>20.300098071265118</v>
      </c>
      <c r="P187" s="515">
        <f t="shared" ref="P187:P195" ca="1" si="133">IF(M187&gt;0,N187*100/M187,0)</f>
        <v>33.22525414660246</v>
      </c>
      <c r="Q187" s="515">
        <f t="shared" ref="Q187:S187" ca="1" si="134">Q188+Q189</f>
        <v>250800</v>
      </c>
      <c r="R187" s="515">
        <f t="shared" ca="1" si="134"/>
        <v>250800</v>
      </c>
      <c r="S187" s="515">
        <f t="shared" ca="1" si="134"/>
        <v>0</v>
      </c>
      <c r="T187" s="515">
        <f t="shared" ref="T187:T195" ca="1" si="135">IF(Q187&gt;0,S187*100/Q187,0)</f>
        <v>0</v>
      </c>
      <c r="U187" s="515">
        <f t="shared" ref="U187:U195" ca="1" si="136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7">L191+L194</f>
        <v>0</v>
      </c>
      <c r="M188" s="80">
        <f t="shared" si="137"/>
        <v>0</v>
      </c>
      <c r="N188" s="80">
        <f t="shared" si="137"/>
        <v>0</v>
      </c>
      <c r="O188" s="80">
        <f t="shared" si="132"/>
        <v>0</v>
      </c>
      <c r="P188" s="80">
        <f t="shared" si="133"/>
        <v>0</v>
      </c>
      <c r="Q188" s="80">
        <f t="shared" ref="Q188:S189" si="138">Q191+Q194</f>
        <v>0</v>
      </c>
      <c r="R188" s="80">
        <f t="shared" si="138"/>
        <v>0</v>
      </c>
      <c r="S188" s="80">
        <f t="shared" si="138"/>
        <v>0</v>
      </c>
      <c r="T188" s="80">
        <f t="shared" si="135"/>
        <v>0</v>
      </c>
      <c r="U188" s="80">
        <f t="shared" si="136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7"/>
        <v>305900</v>
      </c>
      <c r="M189" s="230">
        <f t="shared" ca="1" si="137"/>
        <v>186900</v>
      </c>
      <c r="N189" s="230">
        <f t="shared" ca="1" si="137"/>
        <v>62098</v>
      </c>
      <c r="O189" s="230">
        <f t="shared" ca="1" si="132"/>
        <v>20.300098071265118</v>
      </c>
      <c r="P189" s="230">
        <f t="shared" ca="1" si="133"/>
        <v>33.22525414660246</v>
      </c>
      <c r="Q189" s="230">
        <f t="shared" ca="1" si="138"/>
        <v>250800</v>
      </c>
      <c r="R189" s="230">
        <f t="shared" ca="1" si="138"/>
        <v>250800</v>
      </c>
      <c r="S189" s="230">
        <f t="shared" ca="1" si="138"/>
        <v>0</v>
      </c>
      <c r="T189" s="230">
        <f t="shared" ca="1" si="135"/>
        <v>0</v>
      </c>
      <c r="U189" s="230">
        <f t="shared" ca="1" si="136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39">L191+L192</f>
        <v>305900</v>
      </c>
      <c r="M190" s="230">
        <f t="shared" ca="1" si="139"/>
        <v>186900</v>
      </c>
      <c r="N190" s="230">
        <f t="shared" ca="1" si="139"/>
        <v>62098</v>
      </c>
      <c r="O190" s="230">
        <f t="shared" ca="1" si="132"/>
        <v>20.300098071265118</v>
      </c>
      <c r="P190" s="230">
        <f t="shared" ca="1" si="133"/>
        <v>33.22525414660246</v>
      </c>
      <c r="Q190" s="230">
        <f t="shared" ref="Q190:S190" ca="1" si="140">Q191+Q192</f>
        <v>250800</v>
      </c>
      <c r="R190" s="230">
        <f t="shared" ca="1" si="140"/>
        <v>250800</v>
      </c>
      <c r="S190" s="230">
        <f t="shared" ca="1" si="140"/>
        <v>0</v>
      </c>
      <c r="T190" s="230">
        <f t="shared" ca="1" si="135"/>
        <v>0</v>
      </c>
      <c r="U190" s="230">
        <f t="shared" ca="1" si="136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2"/>
        <v>0</v>
      </c>
      <c r="P191" s="80">
        <f t="shared" si="133"/>
        <v>0</v>
      </c>
      <c r="Q191" s="80">
        <v>0</v>
      </c>
      <c r="R191" s="80">
        <v>0</v>
      </c>
      <c r="S191" s="80">
        <v>0</v>
      </c>
      <c r="T191" s="80">
        <f t="shared" si="135"/>
        <v>0</v>
      </c>
      <c r="U191" s="80">
        <f t="shared" si="136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IFERROR(__xludf.DUMMYFUNCTION("IMPORTRANGE(""https://docs.google.com/spreadsheets/d/1-uDff_7J0KD5mKrp0Vvzr7lt3OU09vwQwhkpOPPYv2Y/edit?usp=sharing"",""งบพรบ!CU20"")"),305900)</f>
        <v>305900</v>
      </c>
      <c r="M192" s="230">
        <f ca="1">IFERROR(__xludf.DUMMYFUNCTION("IMPORTRANGE(""https://docs.google.com/spreadsheets/d/1-uDff_7J0KD5mKrp0Vvzr7lt3OU09vwQwhkpOPPYv2Y/edit?usp=sharing"",""งบพรบ!CZ20"")"),186900)</f>
        <v>186900</v>
      </c>
      <c r="N192" s="230">
        <f ca="1">IFERROR(__xludf.DUMMYFUNCTION("IMPORTRANGE(""https://docs.google.com/spreadsheets/d/1-uDff_7J0KD5mKrp0Vvzr7lt3OU09vwQwhkpOPPYv2Y/edit?usp=sharing"",""งบพรบ!DB20"")"),62098)</f>
        <v>62098</v>
      </c>
      <c r="O192" s="230">
        <f t="shared" ca="1" si="132"/>
        <v>20.300098071265118</v>
      </c>
      <c r="P192" s="230">
        <f t="shared" ca="1" si="133"/>
        <v>33.22525414660246</v>
      </c>
      <c r="Q192" s="230">
        <f ca="1">IFERROR(__xludf.DUMMYFUNCTION("IMPORTRANGE(""https://docs.google.com/spreadsheets/d/1ItG2mGa2ceCfYo0BwxsXqNm01IGEUdYcSSLTEv9YCik/edit?usp=sharing"",""เบิกจ่ายกองทุน!AV20"")"),250800)</f>
        <v>250800</v>
      </c>
      <c r="R192" s="230">
        <f ca="1">IFERROR(__xludf.DUMMYFUNCTION("IMPORTRANGE(""https://docs.google.com/spreadsheets/d/1ItG2mGa2ceCfYo0BwxsXqNm01IGEUdYcSSLTEv9YCik/edit?usp=sharing"",""เบิกจ่ายกองทุน!AW20"")"),250800)</f>
        <v>250800</v>
      </c>
      <c r="S192" s="230">
        <f ca="1">IFERROR(__xludf.DUMMYFUNCTION("IMPORTRANGE(""https://docs.google.com/spreadsheets/d/1ItG2mGa2ceCfYo0BwxsXqNm01IGEUdYcSSLTEv9YCik/edit?usp=sharing"",""เบิกจ่ายกองทุน!AX20"")"),0)</f>
        <v>0</v>
      </c>
      <c r="T192" s="230">
        <f t="shared" ca="1" si="135"/>
        <v>0</v>
      </c>
      <c r="U192" s="230">
        <f t="shared" ca="1" si="136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1">L194+L195</f>
        <v>0</v>
      </c>
      <c r="M193" s="230">
        <f t="shared" ca="1" si="141"/>
        <v>0</v>
      </c>
      <c r="N193" s="230">
        <f t="shared" ca="1" si="141"/>
        <v>0</v>
      </c>
      <c r="O193" s="230">
        <f t="shared" ca="1" si="132"/>
        <v>0</v>
      </c>
      <c r="P193" s="230">
        <f t="shared" ca="1" si="133"/>
        <v>0</v>
      </c>
      <c r="Q193" s="230">
        <f t="shared" ref="Q193:S193" si="142">Q194+Q195</f>
        <v>0</v>
      </c>
      <c r="R193" s="230">
        <f t="shared" si="142"/>
        <v>0</v>
      </c>
      <c r="S193" s="230">
        <f t="shared" si="142"/>
        <v>0</v>
      </c>
      <c r="T193" s="230">
        <f t="shared" si="135"/>
        <v>0</v>
      </c>
      <c r="U193" s="230">
        <f t="shared" si="136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2"/>
        <v>0</v>
      </c>
      <c r="P194" s="80">
        <f t="shared" si="133"/>
        <v>0</v>
      </c>
      <c r="Q194" s="80">
        <v>0</v>
      </c>
      <c r="R194" s="80">
        <v>0</v>
      </c>
      <c r="S194" s="80">
        <v>0</v>
      </c>
      <c r="T194" s="80">
        <f t="shared" si="135"/>
        <v>0</v>
      </c>
      <c r="U194" s="80">
        <f t="shared" si="136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IFERROR(__xludf.DUMMYFUNCTION("IMPORTRANGE(""https://docs.google.com/spreadsheets/d/1-uDff_7J0KD5mKrp0Vvzr7lt3OU09vwQwhkpOPPYv2Y/edit?usp=sharing"",""งบพรบ!CX20"")"),0)</f>
        <v>0</v>
      </c>
      <c r="M195" s="230">
        <f ca="1">IFERROR(__xludf.DUMMYFUNCTION("IMPORTRANGE(""https://docs.google.com/spreadsheets/d/1-uDff_7J0KD5mKrp0Vvzr7lt3OU09vwQwhkpOPPYv2Y/edit?usp=sharing"",""งบพรบ!DA20"")"),0)</f>
        <v>0</v>
      </c>
      <c r="N195" s="230">
        <f ca="1">IFERROR(__xludf.DUMMYFUNCTION("IMPORTRANGE(""https://docs.google.com/spreadsheets/d/1-uDff_7J0KD5mKrp0Vvzr7lt3OU09vwQwhkpOPPYv2Y/edit?usp=sharing"",""งบพรบ!DC20"")"),0)</f>
        <v>0</v>
      </c>
      <c r="O195" s="230">
        <f t="shared" ca="1" si="132"/>
        <v>0</v>
      </c>
      <c r="P195" s="230">
        <f t="shared" ca="1" si="133"/>
        <v>0</v>
      </c>
      <c r="Q195" s="230">
        <v>0</v>
      </c>
      <c r="R195" s="230">
        <v>0</v>
      </c>
      <c r="S195" s="230">
        <v>0</v>
      </c>
      <c r="T195" s="230">
        <f t="shared" si="135"/>
        <v>0</v>
      </c>
      <c r="U195" s="230">
        <f t="shared" si="136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3">I199</f>
        <v>4</v>
      </c>
      <c r="J196" s="313">
        <f t="shared" si="143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IFERROR(__xludf.DUMMYFUNCTION("IMPORTRANGE(""https://docs.google.com/spreadsheets/d/1eHaY18a8A9IcSdp1K8H6x8fbOy06t2VsZHhMHf-1x7Y/edit?usp=sharing"",""แผน!AB20"")"),6000)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IFERROR(__xludf.DUMMYFUNCTION("IMPORTRANGE(""https://docs.google.com/spreadsheets/d/1eHaY18a8A9IcSdp1K8H6x8fbOy06t2VsZHhMHf-1x7Y/edit?usp=sharing"",""แผน!AE20"")"),4)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50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50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4">I210</f>
        <v>2</v>
      </c>
      <c r="J203" s="313">
        <f t="shared" si="144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26000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IFERROR(__xludf.DUMMYFUNCTION("IMPORTRANGE(""https://docs.google.com/spreadsheets/d/1eHaY18a8A9IcSdp1K8H6x8fbOy06t2VsZHhMHf-1x7Y/edit?usp=sharing"",""แผน!AG20"")"),2000)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IFERROR(__xludf.DUMMYFUNCTION("IMPORTRANGE(""https://docs.google.com/spreadsheets/d/1eHaY18a8A9IcSdp1K8H6x8fbOy06t2VsZHhMHf-1x7Y/edit?usp=sharing"",""แผน!AH20"")"),0)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IFERROR(__xludf.DUMMYFUNCTION("IMPORTRANGE(""https://docs.google.com/spreadsheets/d/1eHaY18a8A9IcSdp1K8H6x8fbOy06t2VsZHhMHf-1x7Y/edit?usp=sharing"",""แผน!AI20"")"),16000)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IFERROR(__xludf.DUMMYFUNCTION("IMPORTRANGE(""https://docs.google.com/spreadsheets/d/1eHaY18a8A9IcSdp1K8H6x8fbOy06t2VsZHhMHf-1x7Y/edit?usp=sharing"",""แผน!AJ20"")"),8000)</f>
        <v>8000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IFERROR(__xludf.DUMMYFUNCTION("IMPORTRANGE(""https://docs.google.com/spreadsheets/d/1eHaY18a8A9IcSdp1K8H6x8fbOy06t2VsZHhMHf-1x7Y/edit?usp=sharing"",""แผน!AK20"")"),2)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IFERROR(__xludf.DUMMYFUNCTION("IMPORTRANGE(""https://docs.google.com/spreadsheets/d/1eHaY18a8A9IcSdp1K8H6x8fbOy06t2VsZHhMHf-1x7Y/edit?usp=sharing"",""แผน!JX20"")"),2)</f>
        <v>2</v>
      </c>
      <c r="J212" s="520">
        <v>0</v>
      </c>
      <c r="K212" s="521">
        <f t="shared" ref="K212:K214" ca="1" si="145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IFERROR(__xludf.DUMMYFUNCTION("IMPORTRANGE(""https://docs.google.com/spreadsheets/d/1eHaY18a8A9IcSdp1K8H6x8fbOy06t2VsZHhMHf-1x7Y/edit?usp=sharing"",""แผน!JY20"")"),0)</f>
        <v>0</v>
      </c>
      <c r="J213" s="520">
        <v>0</v>
      </c>
      <c r="K213" s="521">
        <f t="shared" ca="1" si="145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6">I221</f>
        <v>0</v>
      </c>
      <c r="J214" s="313">
        <f t="shared" si="146"/>
        <v>0</v>
      </c>
      <c r="K214" s="314">
        <f t="shared" ca="1" si="145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IFERROR(__xludf.DUMMYFUNCTION("IMPORTRANGE(""https://docs.google.com/spreadsheets/d/1eHaY18a8A9IcSdp1K8H6x8fbOy06t2VsZHhMHf-1x7Y/edit?usp=sharing"",""แผน!AM20"")"),0)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IFERROR(__xludf.DUMMYFUNCTION("IMPORTRANGE(""https://docs.google.com/spreadsheets/d/1eHaY18a8A9IcSdp1K8H6x8fbOy06t2VsZHhMHf-1x7Y/edit?usp=sharing"",""แผน!AN20"")"),0)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IFERROR(__xludf.DUMMYFUNCTION("IMPORTRANGE(""https://docs.google.com/spreadsheets/d/1eHaY18a8A9IcSdp1K8H6x8fbOy06t2VsZHhMHf-1x7Y/edit?usp=sharing"",""แผน!AO20"")"),0)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IFERROR(__xludf.DUMMYFUNCTION("IMPORTRANGE(""https://docs.google.com/spreadsheets/d/1eHaY18a8A9IcSdp1K8H6x8fbOy06t2VsZHhMHf-1x7Y/edit?usp=sharing"",""แผน!AP20"")"),0)</f>
        <v>0</v>
      </c>
      <c r="J220" s="520">
        <v>0</v>
      </c>
      <c r="K220" s="230">
        <f t="shared" ref="K220:K222" ca="1" si="147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IFERROR(__xludf.DUMMYFUNCTION("IMPORTRANGE(""https://docs.google.com/spreadsheets/d/1eHaY18a8A9IcSdp1K8H6x8fbOy06t2VsZHhMHf-1x7Y/edit?usp=sharing"",""แผน!AP20"")"),0)</f>
        <v>0</v>
      </c>
      <c r="J221" s="520">
        <v>0</v>
      </c>
      <c r="K221" s="230">
        <f t="shared" ca="1" si="147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8">I230</f>
        <v>20000</v>
      </c>
      <c r="J222" s="313">
        <f t="shared" si="148"/>
        <v>0</v>
      </c>
      <c r="K222" s="314">
        <f t="shared" ca="1" si="147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4500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IFERROR(__xludf.DUMMYFUNCTION("IMPORTRANGE(""https://docs.google.com/spreadsheets/d/1eHaY18a8A9IcSdp1K8H6x8fbOy06t2VsZHhMHf-1x7Y/edit?usp=sharing"",""แผน!AR20"")"),3000)</f>
        <v>3000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IFERROR(__xludf.DUMMYFUNCTION("IMPORTRANGE(""https://docs.google.com/spreadsheets/d/1eHaY18a8A9IcSdp1K8H6x8fbOy06t2VsZHhMHf-1x7Y/edit?usp=sharing"",""แผน!AS20"")"),1500)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IFERROR(__xludf.DUMMYFUNCTION("IMPORTRANGE(""https://docs.google.com/spreadsheets/d/1eHaY18a8A9IcSdp1K8H6x8fbOy06t2VsZHhMHf-1x7Y/edit?usp=sharing"",""แผน!AT20"")"),0)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IFERROR(__xludf.DUMMYFUNCTION("IMPORTRANGE(""https://docs.google.com/spreadsheets/d/1eHaY18a8A9IcSdp1K8H6x8fbOy06t2VsZHhMHf-1x7Y/edit?usp=sharing"",""แผน!AV20"")"),20000)</f>
        <v>20000</v>
      </c>
      <c r="J229" s="520">
        <v>0</v>
      </c>
      <c r="K229" s="521">
        <f t="shared" ref="K229:K232" ca="1" si="149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IFERROR(__xludf.DUMMYFUNCTION("IMPORTRANGE(""https://docs.google.com/spreadsheets/d/1eHaY18a8A9IcSdp1K8H6x8fbOy06t2VsZHhMHf-1x7Y/edit?usp=sharing"",""แผน!AV20"")"),20000)</f>
        <v>20000</v>
      </c>
      <c r="J230" s="520">
        <v>0</v>
      </c>
      <c r="K230" s="521">
        <f t="shared" ca="1" si="149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IFERROR(__xludf.DUMMYFUNCTION("IMPORTRANGE(""https://docs.google.com/spreadsheets/d/1eHaY18a8A9IcSdp1K8H6x8fbOy06t2VsZHhMHf-1x7Y/edit?usp=sharing"",""แผน!AU20"")"),0)</f>
        <v>0</v>
      </c>
      <c r="J231" s="520">
        <v>0</v>
      </c>
      <c r="K231" s="521">
        <f t="shared" ca="1" si="149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722"/>
      <c r="B232" s="723"/>
      <c r="C232" s="545" t="s">
        <v>105</v>
      </c>
      <c r="D232" s="724"/>
      <c r="E232" s="724"/>
      <c r="F232" s="724"/>
      <c r="G232" s="725"/>
      <c r="H232" s="546" t="s">
        <v>35</v>
      </c>
      <c r="I232" s="547">
        <f t="shared" ref="I232:J232" ca="1" si="150">I243+I254</f>
        <v>40</v>
      </c>
      <c r="J232" s="547">
        <f t="shared" si="150"/>
        <v>0</v>
      </c>
      <c r="K232" s="548">
        <f t="shared" ca="1" si="149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584"/>
      <c r="B233" s="585"/>
      <c r="C233" s="549" t="s">
        <v>18</v>
      </c>
      <c r="D233" s="550" t="s">
        <v>19</v>
      </c>
      <c r="E233" s="585"/>
      <c r="F233" s="585"/>
      <c r="G233" s="586"/>
      <c r="H233" s="384" t="s">
        <v>14</v>
      </c>
      <c r="I233" s="597"/>
      <c r="J233" s="597"/>
      <c r="K233" s="598"/>
      <c r="L233" s="543">
        <f t="shared" ref="L233:L237" ca="1" si="151">L244+L255</f>
        <v>269400</v>
      </c>
      <c r="M233" s="42"/>
      <c r="N233" s="544">
        <f t="shared" ref="N233:N237" si="152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584"/>
      <c r="B234" s="726"/>
      <c r="C234" s="585"/>
      <c r="D234" s="542" t="s">
        <v>311</v>
      </c>
      <c r="E234" s="585"/>
      <c r="F234" s="585"/>
      <c r="G234" s="586"/>
      <c r="H234" s="157" t="s">
        <v>14</v>
      </c>
      <c r="I234" s="597"/>
      <c r="J234" s="597"/>
      <c r="K234" s="598"/>
      <c r="L234" s="483">
        <f t="shared" ca="1" si="151"/>
        <v>99000</v>
      </c>
      <c r="M234" s="42"/>
      <c r="N234" s="80">
        <f t="shared" si="152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727"/>
      <c r="B235" s="726"/>
      <c r="C235" s="726"/>
      <c r="D235" s="254" t="s">
        <v>87</v>
      </c>
      <c r="E235" s="585"/>
      <c r="F235" s="585"/>
      <c r="G235" s="586"/>
      <c r="H235" s="157" t="s">
        <v>14</v>
      </c>
      <c r="I235" s="587"/>
      <c r="J235" s="587"/>
      <c r="K235" s="588"/>
      <c r="L235" s="483">
        <f t="shared" ca="1" si="151"/>
        <v>3000</v>
      </c>
      <c r="M235" s="42"/>
      <c r="N235" s="80">
        <f t="shared" si="152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727"/>
      <c r="B236" s="726"/>
      <c r="C236" s="726"/>
      <c r="D236" s="254" t="s">
        <v>88</v>
      </c>
      <c r="E236" s="585"/>
      <c r="F236" s="585"/>
      <c r="G236" s="586"/>
      <c r="H236" s="157" t="s">
        <v>14</v>
      </c>
      <c r="I236" s="587"/>
      <c r="J236" s="587"/>
      <c r="K236" s="588"/>
      <c r="L236" s="483">
        <f t="shared" ca="1" si="151"/>
        <v>114400</v>
      </c>
      <c r="M236" s="42"/>
      <c r="N236" s="80">
        <f t="shared" si="152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727"/>
      <c r="B237" s="726"/>
      <c r="C237" s="726"/>
      <c r="D237" s="254" t="s">
        <v>89</v>
      </c>
      <c r="E237" s="585"/>
      <c r="F237" s="585"/>
      <c r="G237" s="586"/>
      <c r="H237" s="157" t="s">
        <v>14</v>
      </c>
      <c r="I237" s="587"/>
      <c r="J237" s="587"/>
      <c r="K237" s="588"/>
      <c r="L237" s="483">
        <f t="shared" ca="1" si="151"/>
        <v>53000</v>
      </c>
      <c r="M237" s="42"/>
      <c r="N237" s="80">
        <f t="shared" si="152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728"/>
      <c r="B238" s="729"/>
      <c r="C238" s="551" t="s">
        <v>18</v>
      </c>
      <c r="D238" s="552" t="s">
        <v>38</v>
      </c>
      <c r="E238" s="730"/>
      <c r="F238" s="730"/>
      <c r="G238" s="731"/>
      <c r="H238" s="732"/>
      <c r="I238" s="597"/>
      <c r="J238" s="587"/>
      <c r="K238" s="588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728"/>
      <c r="B239" s="729"/>
      <c r="C239" s="729"/>
      <c r="D239" s="180" t="s">
        <v>108</v>
      </c>
      <c r="E239" s="733"/>
      <c r="F239" s="733"/>
      <c r="G239" s="732"/>
      <c r="H239" s="553" t="s">
        <v>35</v>
      </c>
      <c r="I239" s="444">
        <f t="shared" ref="I239:J239" ca="1" si="153">I250+I261</f>
        <v>40</v>
      </c>
      <c r="J239" s="444">
        <f t="shared" si="153"/>
        <v>0</v>
      </c>
      <c r="K239" s="8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728"/>
      <c r="B240" s="729"/>
      <c r="C240" s="729"/>
      <c r="D240" s="554" t="s">
        <v>43</v>
      </c>
      <c r="E240" s="733"/>
      <c r="F240" s="733"/>
      <c r="G240" s="732"/>
      <c r="H240" s="732"/>
      <c r="I240" s="587"/>
      <c r="J240" s="587"/>
      <c r="K240" s="588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728"/>
      <c r="B241" s="729"/>
      <c r="C241" s="729"/>
      <c r="D241" s="729"/>
      <c r="E241" s="555" t="s">
        <v>109</v>
      </c>
      <c r="F241" s="733"/>
      <c r="G241" s="732"/>
      <c r="H241" s="553" t="s">
        <v>35</v>
      </c>
      <c r="I241" s="444">
        <f t="shared" ref="I241:J242" ca="1" si="154">I252+I263</f>
        <v>40</v>
      </c>
      <c r="J241" s="444">
        <f t="shared" si="154"/>
        <v>0</v>
      </c>
      <c r="K241" s="80">
        <f t="shared" ref="K241:K243" ca="1" si="155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728"/>
      <c r="B242" s="729"/>
      <c r="C242" s="729"/>
      <c r="D242" s="729"/>
      <c r="E242" s="555" t="s">
        <v>110</v>
      </c>
      <c r="F242" s="733"/>
      <c r="G242" s="732"/>
      <c r="H242" s="553" t="s">
        <v>61</v>
      </c>
      <c r="I242" s="444">
        <f t="shared" ca="1" si="154"/>
        <v>1</v>
      </c>
      <c r="J242" s="444">
        <f t="shared" si="154"/>
        <v>0</v>
      </c>
      <c r="K242" s="80">
        <f t="shared" ca="1" si="155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x14ac:dyDescent="0.3">
      <c r="A243" s="734"/>
      <c r="B243" s="735"/>
      <c r="C243" s="736" t="s">
        <v>320</v>
      </c>
      <c r="D243" s="737"/>
      <c r="E243" s="737"/>
      <c r="F243" s="737"/>
      <c r="G243" s="738"/>
      <c r="H243" s="739" t="s">
        <v>35</v>
      </c>
      <c r="I243" s="740">
        <f t="shared" ref="I243:J243" ca="1" si="156">I250</f>
        <v>40</v>
      </c>
      <c r="J243" s="740">
        <f t="shared" si="156"/>
        <v>0</v>
      </c>
      <c r="K243" s="741">
        <f t="shared" ca="1" si="155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x14ac:dyDescent="0.3">
      <c r="A244" s="574"/>
      <c r="B244" s="575"/>
      <c r="C244" s="576" t="s">
        <v>18</v>
      </c>
      <c r="D244" s="577" t="s">
        <v>19</v>
      </c>
      <c r="E244" s="575"/>
      <c r="F244" s="575"/>
      <c r="G244" s="578"/>
      <c r="H244" s="742" t="s">
        <v>14</v>
      </c>
      <c r="I244" s="595"/>
      <c r="J244" s="595"/>
      <c r="K244" s="596"/>
      <c r="L244" s="514">
        <f ca="1">L245+L246+L247+L248</f>
        <v>269400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x14ac:dyDescent="0.25">
      <c r="A245" s="574"/>
      <c r="B245" s="658"/>
      <c r="C245" s="575"/>
      <c r="D245" s="542" t="s">
        <v>311</v>
      </c>
      <c r="E245" s="575"/>
      <c r="F245" s="575"/>
      <c r="G245" s="578"/>
      <c r="H245" s="594" t="s">
        <v>14</v>
      </c>
      <c r="I245" s="595"/>
      <c r="J245" s="595"/>
      <c r="K245" s="596"/>
      <c r="L245" s="481">
        <f ca="1">IFERROR(__xludf.DUMMYFUNCTION("IMPORTRANGE(""https://docs.google.com/spreadsheets/d/1eHaY18a8A9IcSdp1K8H6x8fbOy06t2VsZHhMHf-1x7Y/edit?usp=sharing"",""แผน!AX20"")"),99000)</f>
        <v>99000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x14ac:dyDescent="0.25">
      <c r="A246" s="743"/>
      <c r="B246" s="658"/>
      <c r="C246" s="658"/>
      <c r="D246" s="254" t="s">
        <v>87</v>
      </c>
      <c r="E246" s="575"/>
      <c r="F246" s="575"/>
      <c r="G246" s="578"/>
      <c r="H246" s="594" t="s">
        <v>14</v>
      </c>
      <c r="I246" s="580"/>
      <c r="J246" s="580"/>
      <c r="K246" s="581"/>
      <c r="L246" s="481">
        <f ca="1">IFERROR(__xludf.DUMMYFUNCTION("IMPORTRANGE(""https://docs.google.com/spreadsheets/d/1eHaY18a8A9IcSdp1K8H6x8fbOy06t2VsZHhMHf-1x7Y/edit?usp=sharing"",""แผน!AY20"")"),3000)</f>
        <v>3000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x14ac:dyDescent="0.25">
      <c r="A247" s="743"/>
      <c r="B247" s="658"/>
      <c r="C247" s="658"/>
      <c r="D247" s="254" t="s">
        <v>88</v>
      </c>
      <c r="E247" s="575"/>
      <c r="F247" s="575"/>
      <c r="G247" s="578"/>
      <c r="H247" s="594" t="s">
        <v>14</v>
      </c>
      <c r="I247" s="580"/>
      <c r="J247" s="580"/>
      <c r="K247" s="581"/>
      <c r="L247" s="481">
        <f ca="1">IFERROR(__xludf.DUMMYFUNCTION("IMPORTRANGE(""https://docs.google.com/spreadsheets/d/1eHaY18a8A9IcSdp1K8H6x8fbOy06t2VsZHhMHf-1x7Y/edit?usp=sharing"",""แผน!AZ20"")"),114400)</f>
        <v>114400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x14ac:dyDescent="0.25">
      <c r="A248" s="743"/>
      <c r="B248" s="658"/>
      <c r="C248" s="658"/>
      <c r="D248" s="254" t="s">
        <v>89</v>
      </c>
      <c r="E248" s="575"/>
      <c r="F248" s="575"/>
      <c r="G248" s="578"/>
      <c r="H248" s="594" t="s">
        <v>14</v>
      </c>
      <c r="I248" s="580"/>
      <c r="J248" s="580"/>
      <c r="K248" s="581"/>
      <c r="L248" s="481">
        <f ca="1">IFERROR(__xludf.DUMMYFUNCTION("IMPORTRANGE(""https://docs.google.com/spreadsheets/d/1eHaY18a8A9IcSdp1K8H6x8fbOy06t2VsZHhMHf-1x7Y/edit?usp=sharing"",""แผน!BA20"")"),53000)</f>
        <v>53000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x14ac:dyDescent="0.3">
      <c r="A249" s="600"/>
      <c r="B249" s="601"/>
      <c r="C249" s="744" t="s">
        <v>18</v>
      </c>
      <c r="D249" s="602" t="s">
        <v>38</v>
      </c>
      <c r="E249" s="567"/>
      <c r="F249" s="567"/>
      <c r="G249" s="568"/>
      <c r="H249" s="603"/>
      <c r="I249" s="595"/>
      <c r="J249" s="580"/>
      <c r="K249" s="581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x14ac:dyDescent="0.25">
      <c r="A250" s="600"/>
      <c r="B250" s="601"/>
      <c r="C250" s="601"/>
      <c r="D250" s="709" t="s">
        <v>108</v>
      </c>
      <c r="E250" s="707"/>
      <c r="F250" s="707"/>
      <c r="G250" s="603"/>
      <c r="H250" s="745" t="s">
        <v>35</v>
      </c>
      <c r="I250" s="661">
        <f ca="1">IFERROR(__xludf.DUMMYFUNCTION("IMPORTRANGE(""https://docs.google.com/spreadsheets/d/1eHaY18a8A9IcSdp1K8H6x8fbOy06t2VsZHhMHf-1x7Y/edit?usp=sharing"",""แผน!BG20"")"),40)</f>
        <v>40</v>
      </c>
      <c r="J250" s="705">
        <v>0</v>
      </c>
      <c r="K250" s="592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x14ac:dyDescent="0.25">
      <c r="A251" s="600"/>
      <c r="B251" s="601"/>
      <c r="C251" s="601"/>
      <c r="D251" s="746" t="s">
        <v>43</v>
      </c>
      <c r="E251" s="707"/>
      <c r="F251" s="707"/>
      <c r="G251" s="603"/>
      <c r="H251" s="603"/>
      <c r="I251" s="580"/>
      <c r="J251" s="580"/>
      <c r="K251" s="581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x14ac:dyDescent="0.25">
      <c r="A252" s="600"/>
      <c r="B252" s="601"/>
      <c r="C252" s="601"/>
      <c r="D252" s="601"/>
      <c r="E252" s="747" t="s">
        <v>109</v>
      </c>
      <c r="F252" s="707"/>
      <c r="G252" s="603"/>
      <c r="H252" s="745" t="s">
        <v>35</v>
      </c>
      <c r="I252" s="661">
        <f ca="1">IFERROR(__xludf.DUMMYFUNCTION("IMPORTRANGE(""https://docs.google.com/spreadsheets/d/1eHaY18a8A9IcSdp1K8H6x8fbOy06t2VsZHhMHf-1x7Y/edit?usp=sharing"",""แผน!KP20"")"),40)</f>
        <v>40</v>
      </c>
      <c r="J252" s="705">
        <v>0</v>
      </c>
      <c r="K252" s="592">
        <f t="shared" ref="K252:K254" ca="1" si="157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x14ac:dyDescent="0.25">
      <c r="A253" s="600"/>
      <c r="B253" s="601"/>
      <c r="C253" s="601"/>
      <c r="D253" s="601"/>
      <c r="E253" s="747" t="s">
        <v>110</v>
      </c>
      <c r="F253" s="707"/>
      <c r="G253" s="603"/>
      <c r="H253" s="745" t="s">
        <v>321</v>
      </c>
      <c r="I253" s="661">
        <f ca="1">IFERROR(__xludf.DUMMYFUNCTION("IMPORTRANGE(""https://docs.google.com/spreadsheets/d/1eHaY18a8A9IcSdp1K8H6x8fbOy06t2VsZHhMHf-1x7Y/edit?usp=sharing"",""แผน!KQ20"")"),1)</f>
        <v>1</v>
      </c>
      <c r="J253" s="705">
        <v>0</v>
      </c>
      <c r="K253" s="592">
        <f t="shared" ca="1" si="157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8">I261</f>
        <v>0</v>
      </c>
      <c r="J254" s="547">
        <f t="shared" si="158"/>
        <v>0</v>
      </c>
      <c r="K254" s="548">
        <f t="shared" ca="1" si="157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542" t="s">
        <v>311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IFERROR(__xludf.DUMMYFUNCTION("IMPORTRANGE(""https://docs.google.com/spreadsheets/d/1eHaY18a8A9IcSdp1K8H6x8fbOy06t2VsZHhMHf-1x7Y/edit?usp=sharing"",""แผน!BB20"")"),0)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254" t="s">
        <v>87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IFERROR(__xludf.DUMMYFUNCTION("IMPORTRANGE(""https://docs.google.com/spreadsheets/d/1eHaY18a8A9IcSdp1K8H6x8fbOy06t2VsZHhMHf-1x7Y/edit?usp=sharing"",""แผน!BC20"")"),0)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254" t="s">
        <v>88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IFERROR(__xludf.DUMMYFUNCTION("IMPORTRANGE(""https://docs.google.com/spreadsheets/d/1eHaY18a8A9IcSdp1K8H6x8fbOy06t2VsZHhMHf-1x7Y/edit?usp=sharing"",""แผน!BD20"")"),0)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254" t="s">
        <v>89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IFERROR(__xludf.DUMMYFUNCTION("IMPORTRANGE(""https://docs.google.com/spreadsheets/d/1eHaY18a8A9IcSdp1K8H6x8fbOy06t2VsZHhMHf-1x7Y/edit?usp=sharing"",""แผน!BE20"")"),0)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IFERROR(__xludf.DUMMYFUNCTION("IMPORTRANGE(""https://docs.google.com/spreadsheets/d/1eHaY18a8A9IcSdp1K8H6x8fbOy06t2VsZHhMHf-1x7Y/edit?usp=sharing"",""แผน!BH20"")"),0)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59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59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0">I277</f>
        <v>24</v>
      </c>
      <c r="J266" s="570">
        <f t="shared" si="160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1">L268+L269</f>
        <v>0</v>
      </c>
      <c r="M267" s="583">
        <f t="shared" ca="1" si="161"/>
        <v>5000</v>
      </c>
      <c r="N267" s="583">
        <f t="shared" ca="1" si="161"/>
        <v>0</v>
      </c>
      <c r="O267" s="583">
        <f t="shared" ref="O267:O275" ca="1" si="162">IF(L267&gt;0,N267*100/L267,0)</f>
        <v>0</v>
      </c>
      <c r="P267" s="583">
        <f t="shared" ref="P267:P275" ca="1" si="163">IF(M267&gt;0,N267*100/M267,0)</f>
        <v>0</v>
      </c>
      <c r="Q267" s="583">
        <f t="shared" ref="Q267:S267" ca="1" si="164">Q268+Q269</f>
        <v>53440</v>
      </c>
      <c r="R267" s="583">
        <f t="shared" ca="1" si="164"/>
        <v>53440</v>
      </c>
      <c r="S267" s="583">
        <f t="shared" ca="1" si="164"/>
        <v>0</v>
      </c>
      <c r="T267" s="583">
        <f t="shared" ref="T267:T275" ca="1" si="165">IF(Q267&gt;0,S267*100/Q267,0)</f>
        <v>0</v>
      </c>
      <c r="U267" s="583">
        <f t="shared" ref="U267:U275" ca="1" si="166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7">L271+L274</f>
        <v>0</v>
      </c>
      <c r="M268" s="80">
        <f t="shared" si="167"/>
        <v>0</v>
      </c>
      <c r="N268" s="80">
        <f t="shared" si="167"/>
        <v>0</v>
      </c>
      <c r="O268" s="80">
        <f t="shared" si="162"/>
        <v>0</v>
      </c>
      <c r="P268" s="80">
        <f t="shared" si="163"/>
        <v>0</v>
      </c>
      <c r="Q268" s="80">
        <f t="shared" ref="Q268:S269" si="168">Q271+Q274</f>
        <v>0</v>
      </c>
      <c r="R268" s="80">
        <f t="shared" si="168"/>
        <v>0</v>
      </c>
      <c r="S268" s="80">
        <f t="shared" si="168"/>
        <v>0</v>
      </c>
      <c r="T268" s="80">
        <f t="shared" si="165"/>
        <v>0</v>
      </c>
      <c r="U268" s="80">
        <f t="shared" si="166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7"/>
        <v>0</v>
      </c>
      <c r="M269" s="592">
        <f t="shared" ca="1" si="167"/>
        <v>5000</v>
      </c>
      <c r="N269" s="592">
        <f t="shared" ca="1" si="167"/>
        <v>0</v>
      </c>
      <c r="O269" s="592">
        <f t="shared" ca="1" si="162"/>
        <v>0</v>
      </c>
      <c r="P269" s="592">
        <f t="shared" ca="1" si="163"/>
        <v>0</v>
      </c>
      <c r="Q269" s="592">
        <f t="shared" ca="1" si="168"/>
        <v>53440</v>
      </c>
      <c r="R269" s="592">
        <f t="shared" ca="1" si="168"/>
        <v>53440</v>
      </c>
      <c r="S269" s="592">
        <f t="shared" ca="1" si="168"/>
        <v>0</v>
      </c>
      <c r="T269" s="592">
        <f t="shared" ca="1" si="165"/>
        <v>0</v>
      </c>
      <c r="U269" s="592">
        <f t="shared" ca="1" si="166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69">L271+L272</f>
        <v>0</v>
      </c>
      <c r="M270" s="592">
        <f t="shared" ca="1" si="169"/>
        <v>5000</v>
      </c>
      <c r="N270" s="592">
        <f t="shared" ca="1" si="169"/>
        <v>0</v>
      </c>
      <c r="O270" s="592">
        <f t="shared" ca="1" si="162"/>
        <v>0</v>
      </c>
      <c r="P270" s="592">
        <f t="shared" ca="1" si="163"/>
        <v>0</v>
      </c>
      <c r="Q270" s="592">
        <f t="shared" ref="Q270:S270" ca="1" si="170">Q271+Q272</f>
        <v>53440</v>
      </c>
      <c r="R270" s="592">
        <f t="shared" ca="1" si="170"/>
        <v>53440</v>
      </c>
      <c r="S270" s="592">
        <f t="shared" ca="1" si="170"/>
        <v>0</v>
      </c>
      <c r="T270" s="592">
        <f t="shared" ca="1" si="165"/>
        <v>0</v>
      </c>
      <c r="U270" s="592">
        <f t="shared" ca="1" si="166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2"/>
        <v>0</v>
      </c>
      <c r="P271" s="80">
        <f t="shared" si="163"/>
        <v>0</v>
      </c>
      <c r="Q271" s="80">
        <v>0</v>
      </c>
      <c r="R271" s="80">
        <v>0</v>
      </c>
      <c r="S271" s="80">
        <v>0</v>
      </c>
      <c r="T271" s="80">
        <f t="shared" si="165"/>
        <v>0</v>
      </c>
      <c r="U271" s="80">
        <f t="shared" si="166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IFERROR(__xludf.DUMMYFUNCTION("IMPORTRANGE(""https://docs.google.com/spreadsheets/d/1-uDff_7J0KD5mKrp0Vvzr7lt3OU09vwQwhkpOPPYv2Y/edit?usp=sharing"",""งบพรบ!DE20"")"),0)</f>
        <v>0</v>
      </c>
      <c r="M272" s="592">
        <f ca="1">IFERROR(__xludf.DUMMYFUNCTION("IMPORTRANGE(""https://docs.google.com/spreadsheets/d/1-uDff_7J0KD5mKrp0Vvzr7lt3OU09vwQwhkpOPPYv2Y/edit?usp=sharing"",""งบพรบ!DJ20"")"),5000)</f>
        <v>5000</v>
      </c>
      <c r="N272" s="592">
        <f ca="1">IFERROR(__xludf.DUMMYFUNCTION("IMPORTRANGE(""https://docs.google.com/spreadsheets/d/1-uDff_7J0KD5mKrp0Vvzr7lt3OU09vwQwhkpOPPYv2Y/edit?usp=sharing"",""งบพรบ!DL20"")"),0)</f>
        <v>0</v>
      </c>
      <c r="O272" s="592">
        <f t="shared" ca="1" si="162"/>
        <v>0</v>
      </c>
      <c r="P272" s="592">
        <f t="shared" ca="1" si="163"/>
        <v>0</v>
      </c>
      <c r="Q272" s="592">
        <f ca="1">IFERROR(__xludf.DUMMYFUNCTION("IMPORTRANGE(""https://docs.google.com/spreadsheets/d/1ItG2mGa2ceCfYo0BwxsXqNm01IGEUdYcSSLTEv9YCik/edit?usp=sharing"",""เบิกจ่ายกองทุน!AJ20"")"),53440)</f>
        <v>53440</v>
      </c>
      <c r="R272" s="592">
        <f ca="1">IFERROR(__xludf.DUMMYFUNCTION("IMPORTRANGE(""https://docs.google.com/spreadsheets/d/1ItG2mGa2ceCfYo0BwxsXqNm01IGEUdYcSSLTEv9YCik/edit?usp=sharing"",""เบิกจ่ายกองทุน!AK20"")"),53440)</f>
        <v>53440</v>
      </c>
      <c r="S272" s="592">
        <f ca="1">IFERROR(__xludf.DUMMYFUNCTION("IMPORTRANGE(""https://docs.google.com/spreadsheets/d/1ItG2mGa2ceCfYo0BwxsXqNm01IGEUdYcSSLTEv9YCik/edit?usp=sharing"",""เบิกจ่ายกองทุน!AL20"")"),0)</f>
        <v>0</v>
      </c>
      <c r="T272" s="592">
        <f t="shared" ca="1" si="165"/>
        <v>0</v>
      </c>
      <c r="U272" s="592">
        <f t="shared" ca="1" si="166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1">L274+L275</f>
        <v>0</v>
      </c>
      <c r="M273" s="592">
        <f t="shared" ca="1" si="171"/>
        <v>0</v>
      </c>
      <c r="N273" s="592">
        <f t="shared" ca="1" si="171"/>
        <v>0</v>
      </c>
      <c r="O273" s="592">
        <f t="shared" ca="1" si="162"/>
        <v>0</v>
      </c>
      <c r="P273" s="592">
        <f t="shared" ca="1" si="163"/>
        <v>0</v>
      </c>
      <c r="Q273" s="592">
        <f t="shared" ref="Q273:S273" si="172">Q274+Q275</f>
        <v>0</v>
      </c>
      <c r="R273" s="592">
        <f t="shared" si="172"/>
        <v>0</v>
      </c>
      <c r="S273" s="592">
        <f t="shared" si="172"/>
        <v>0</v>
      </c>
      <c r="T273" s="592">
        <f t="shared" si="165"/>
        <v>0</v>
      </c>
      <c r="U273" s="592">
        <f t="shared" si="166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2"/>
        <v>0</v>
      </c>
      <c r="P274" s="80">
        <f t="shared" si="163"/>
        <v>0</v>
      </c>
      <c r="Q274" s="80">
        <v>0</v>
      </c>
      <c r="R274" s="80">
        <v>0</v>
      </c>
      <c r="S274" s="80">
        <v>0</v>
      </c>
      <c r="T274" s="80">
        <f t="shared" si="165"/>
        <v>0</v>
      </c>
      <c r="U274" s="80">
        <f t="shared" si="166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IFERROR(__xludf.DUMMYFUNCTION("IMPORTRANGE(""https://docs.google.com/spreadsheets/d/1-uDff_7J0KD5mKrp0Vvzr7lt3OU09vwQwhkpOPPYv2Y/edit?usp=sharing"",""งบพรบ!DH20"")"),0)</f>
        <v>0</v>
      </c>
      <c r="M275" s="592">
        <f ca="1">IFERROR(__xludf.DUMMYFUNCTION("IMPORTRANGE(""https://docs.google.com/spreadsheets/d/1-uDff_7J0KD5mKrp0Vvzr7lt3OU09vwQwhkpOPPYv2Y/edit?usp=sharing"",""งบพรบ!DK20"")"),0)</f>
        <v>0</v>
      </c>
      <c r="N275" s="592">
        <f ca="1">IFERROR(__xludf.DUMMYFUNCTION("IMPORTRANGE(""https://docs.google.com/spreadsheets/d/1-uDff_7J0KD5mKrp0Vvzr7lt3OU09vwQwhkpOPPYv2Y/edit?usp=sharing"",""งบพรบ!DM20"")"),0)</f>
        <v>0</v>
      </c>
      <c r="O275" s="592">
        <f t="shared" ca="1" si="162"/>
        <v>0</v>
      </c>
      <c r="P275" s="592">
        <f t="shared" ca="1" si="163"/>
        <v>0</v>
      </c>
      <c r="Q275" s="592">
        <v>0</v>
      </c>
      <c r="R275" s="592">
        <v>0</v>
      </c>
      <c r="S275" s="592">
        <v>0</v>
      </c>
      <c r="T275" s="592">
        <f t="shared" si="165"/>
        <v>0</v>
      </c>
      <c r="U275" s="592">
        <f t="shared" si="166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759"/>
      <c r="B277" s="760"/>
      <c r="C277" s="760"/>
      <c r="D277" s="761" t="s">
        <v>115</v>
      </c>
      <c r="E277" s="762"/>
      <c r="F277" s="762"/>
      <c r="G277" s="763"/>
      <c r="H277" s="764" t="s">
        <v>35</v>
      </c>
      <c r="I277" s="765">
        <f ca="1">IFERROR(__xludf.DUMMYFUNCTION("IMPORTRANGE(""https://docs.google.com/spreadsheets/d/1eHaY18a8A9IcSdp1K8H6x8fbOy06t2VsZHhMHf-1x7Y/edit?usp=sharing"",""แผน!EC20"")"),24)</f>
        <v>24</v>
      </c>
      <c r="J277" s="766">
        <v>0</v>
      </c>
      <c r="K277" s="767">
        <f ca="1">IF(I277&gt;0,J277*100/I277,0)</f>
        <v>0</v>
      </c>
      <c r="L277" s="706"/>
      <c r="M277" s="581"/>
      <c r="N277" s="581"/>
      <c r="O277" s="581"/>
      <c r="P277" s="581"/>
      <c r="Q277" s="581"/>
      <c r="R277" s="581"/>
      <c r="S277" s="581"/>
      <c r="T277" s="581"/>
      <c r="U277" s="581"/>
    </row>
    <row r="278" spans="1:21" ht="18.75" hidden="1" x14ac:dyDescent="0.25">
      <c r="A278" s="768"/>
      <c r="B278" s="769"/>
      <c r="C278" s="769"/>
      <c r="D278" s="614" t="s">
        <v>116</v>
      </c>
      <c r="E278" s="770"/>
      <c r="F278" s="770"/>
      <c r="G278" s="771"/>
      <c r="H278" s="615" t="s">
        <v>35</v>
      </c>
      <c r="I278" s="447">
        <v>0</v>
      </c>
      <c r="J278" s="447">
        <v>0</v>
      </c>
      <c r="K278" s="616">
        <v>0</v>
      </c>
      <c r="L278" s="772"/>
      <c r="M278" s="773"/>
      <c r="N278" s="773"/>
      <c r="O278" s="773"/>
      <c r="P278" s="773"/>
      <c r="Q278" s="773"/>
      <c r="R278" s="773"/>
      <c r="S278" s="773"/>
      <c r="T278" s="773"/>
      <c r="U278" s="77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3">I294</f>
        <v>10</v>
      </c>
      <c r="J281" s="619">
        <f t="shared" si="173"/>
        <v>10</v>
      </c>
      <c r="K281" s="620">
        <f t="shared" ref="K281:K282" ca="1" si="174">IF(I281&gt;0,J281*100/I281,0)</f>
        <v>100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5">I293</f>
        <v>100</v>
      </c>
      <c r="J282" s="619">
        <f t="shared" si="175"/>
        <v>100</v>
      </c>
      <c r="K282" s="620">
        <f t="shared" ca="1" si="174"/>
        <v>100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6">L284+L285</f>
        <v>56120</v>
      </c>
      <c r="M283" s="515">
        <f t="shared" ca="1" si="176"/>
        <v>56120</v>
      </c>
      <c r="N283" s="515">
        <f t="shared" ca="1" si="176"/>
        <v>6632</v>
      </c>
      <c r="O283" s="515">
        <f t="shared" ref="O283:O291" ca="1" si="177">IF(L283&gt;0,N283*100/L283,0)</f>
        <v>11.817533856022809</v>
      </c>
      <c r="P283" s="515">
        <f t="shared" ref="P283:P291" ca="1" si="178">IF(M283&gt;0,N283*100/M283,0)</f>
        <v>11.817533856022809</v>
      </c>
      <c r="Q283" s="515">
        <f t="shared" ref="Q283:S283" si="179">Q284+Q285</f>
        <v>0</v>
      </c>
      <c r="R283" s="515">
        <f t="shared" si="179"/>
        <v>0</v>
      </c>
      <c r="S283" s="515">
        <f t="shared" si="179"/>
        <v>0</v>
      </c>
      <c r="T283" s="515">
        <f t="shared" ref="T283:T291" si="180">IF(Q283&gt;0,S283*100/Q283,0)</f>
        <v>0</v>
      </c>
      <c r="U283" s="515">
        <f t="shared" ref="U283:U291" si="181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2">L287+L290</f>
        <v>0</v>
      </c>
      <c r="M284" s="80">
        <f t="shared" si="182"/>
        <v>0</v>
      </c>
      <c r="N284" s="80">
        <f t="shared" si="182"/>
        <v>0</v>
      </c>
      <c r="O284" s="80">
        <f t="shared" si="177"/>
        <v>0</v>
      </c>
      <c r="P284" s="80">
        <f t="shared" si="178"/>
        <v>0</v>
      </c>
      <c r="Q284" s="80">
        <f t="shared" ref="Q284:S285" si="183">Q287+Q290</f>
        <v>0</v>
      </c>
      <c r="R284" s="80">
        <f t="shared" si="183"/>
        <v>0</v>
      </c>
      <c r="S284" s="80">
        <f t="shared" si="183"/>
        <v>0</v>
      </c>
      <c r="T284" s="80">
        <f t="shared" si="180"/>
        <v>0</v>
      </c>
      <c r="U284" s="80">
        <f t="shared" si="181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2"/>
        <v>56120</v>
      </c>
      <c r="M285" s="230">
        <f t="shared" ca="1" si="182"/>
        <v>56120</v>
      </c>
      <c r="N285" s="230">
        <f t="shared" ca="1" si="182"/>
        <v>6632</v>
      </c>
      <c r="O285" s="230">
        <f t="shared" ca="1" si="177"/>
        <v>11.817533856022809</v>
      </c>
      <c r="P285" s="230">
        <f t="shared" ca="1" si="178"/>
        <v>11.817533856022809</v>
      </c>
      <c r="Q285" s="230">
        <f t="shared" si="183"/>
        <v>0</v>
      </c>
      <c r="R285" s="230">
        <f t="shared" si="183"/>
        <v>0</v>
      </c>
      <c r="S285" s="230">
        <f t="shared" si="183"/>
        <v>0</v>
      </c>
      <c r="T285" s="230">
        <f t="shared" si="180"/>
        <v>0</v>
      </c>
      <c r="U285" s="230">
        <f t="shared" si="181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4">L287+L288</f>
        <v>56120</v>
      </c>
      <c r="M286" s="230">
        <f t="shared" ca="1" si="184"/>
        <v>56120</v>
      </c>
      <c r="N286" s="230">
        <f t="shared" ca="1" si="184"/>
        <v>6632</v>
      </c>
      <c r="O286" s="230">
        <f t="shared" ca="1" si="177"/>
        <v>11.817533856022809</v>
      </c>
      <c r="P286" s="230">
        <f t="shared" ca="1" si="178"/>
        <v>11.817533856022809</v>
      </c>
      <c r="Q286" s="230">
        <f t="shared" ref="Q286:S286" si="185">Q287+Q288</f>
        <v>0</v>
      </c>
      <c r="R286" s="230">
        <f t="shared" si="185"/>
        <v>0</v>
      </c>
      <c r="S286" s="230">
        <f t="shared" si="185"/>
        <v>0</v>
      </c>
      <c r="T286" s="230">
        <f t="shared" si="180"/>
        <v>0</v>
      </c>
      <c r="U286" s="230">
        <f t="shared" si="181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7"/>
        <v>0</v>
      </c>
      <c r="P287" s="80">
        <f t="shared" si="178"/>
        <v>0</v>
      </c>
      <c r="Q287" s="80">
        <v>0</v>
      </c>
      <c r="R287" s="80">
        <v>0</v>
      </c>
      <c r="S287" s="80">
        <v>0</v>
      </c>
      <c r="T287" s="80">
        <f t="shared" si="180"/>
        <v>0</v>
      </c>
      <c r="U287" s="80">
        <f t="shared" si="181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IFERROR(__xludf.DUMMYFUNCTION("IMPORTRANGE(""https://docs.google.com/spreadsheets/d/1-uDff_7J0KD5mKrp0Vvzr7lt3OU09vwQwhkpOPPYv2Y/edit?usp=sharing"",""งบพรบ!DO20"")"),56120)</f>
        <v>56120</v>
      </c>
      <c r="M288" s="230">
        <f ca="1">IFERROR(__xludf.DUMMYFUNCTION("IMPORTRANGE(""https://docs.google.com/spreadsheets/d/1-uDff_7J0KD5mKrp0Vvzr7lt3OU09vwQwhkpOPPYv2Y/edit?usp=sharing"",""งบพรบ!DT20"")"),56120)</f>
        <v>56120</v>
      </c>
      <c r="N288" s="230">
        <f ca="1">IFERROR(__xludf.DUMMYFUNCTION("IMPORTRANGE(""https://docs.google.com/spreadsheets/d/1-uDff_7J0KD5mKrp0Vvzr7lt3OU09vwQwhkpOPPYv2Y/edit?usp=sharing"",""งบพรบ!DV20"")"),6632)</f>
        <v>6632</v>
      </c>
      <c r="O288" s="230">
        <f t="shared" ca="1" si="177"/>
        <v>11.817533856022809</v>
      </c>
      <c r="P288" s="230">
        <f t="shared" ca="1" si="178"/>
        <v>11.817533856022809</v>
      </c>
      <c r="Q288" s="230">
        <v>0</v>
      </c>
      <c r="R288" s="230">
        <v>0</v>
      </c>
      <c r="S288" s="230">
        <v>0</v>
      </c>
      <c r="T288" s="80">
        <f t="shared" si="180"/>
        <v>0</v>
      </c>
      <c r="U288" s="80">
        <f t="shared" si="181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6">L290+L291</f>
        <v>0</v>
      </c>
      <c r="M289" s="230">
        <f t="shared" ca="1" si="186"/>
        <v>0</v>
      </c>
      <c r="N289" s="230">
        <f t="shared" ca="1" si="186"/>
        <v>0</v>
      </c>
      <c r="O289" s="230">
        <f t="shared" ca="1" si="177"/>
        <v>0</v>
      </c>
      <c r="P289" s="230">
        <f t="shared" ca="1" si="178"/>
        <v>0</v>
      </c>
      <c r="Q289" s="230">
        <f t="shared" ref="Q289:S289" si="187">Q290+Q291</f>
        <v>0</v>
      </c>
      <c r="R289" s="230">
        <f t="shared" si="187"/>
        <v>0</v>
      </c>
      <c r="S289" s="230">
        <f t="shared" si="187"/>
        <v>0</v>
      </c>
      <c r="T289" s="230">
        <f t="shared" si="180"/>
        <v>0</v>
      </c>
      <c r="U289" s="230">
        <f t="shared" si="181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7"/>
        <v>0</v>
      </c>
      <c r="P290" s="80">
        <f t="shared" si="178"/>
        <v>0</v>
      </c>
      <c r="Q290" s="80">
        <v>0</v>
      </c>
      <c r="R290" s="80">
        <v>0</v>
      </c>
      <c r="S290" s="80">
        <v>0</v>
      </c>
      <c r="T290" s="80">
        <f t="shared" si="180"/>
        <v>0</v>
      </c>
      <c r="U290" s="80">
        <f t="shared" si="181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IFERROR(__xludf.DUMMYFUNCTION("IMPORTRANGE(""https://docs.google.com/spreadsheets/d/1-uDff_7J0KD5mKrp0Vvzr7lt3OU09vwQwhkpOPPYv2Y/edit?usp=sharing"",""งบพรบ!DR20"")"),0)</f>
        <v>0</v>
      </c>
      <c r="M291" s="230">
        <f ca="1">IFERROR(__xludf.DUMMYFUNCTION("IMPORTRANGE(""https://docs.google.com/spreadsheets/d/1-uDff_7J0KD5mKrp0Vvzr7lt3OU09vwQwhkpOPPYv2Y/edit?usp=sharing"",""งบพรบ!DU20"")"),0)</f>
        <v>0</v>
      </c>
      <c r="N291" s="230">
        <f ca="1">IFERROR(__xludf.DUMMYFUNCTION("IMPORTRANGE(""https://docs.google.com/spreadsheets/d/1-uDff_7J0KD5mKrp0Vvzr7lt3OU09vwQwhkpOPPYv2Y/edit?usp=sharing"",""งบพรบ!DW20"")"),0)</f>
        <v>0</v>
      </c>
      <c r="O291" s="230">
        <f t="shared" ca="1" si="177"/>
        <v>0</v>
      </c>
      <c r="P291" s="230">
        <f t="shared" ca="1" si="178"/>
        <v>0</v>
      </c>
      <c r="Q291" s="230">
        <v>0</v>
      </c>
      <c r="R291" s="230">
        <v>0</v>
      </c>
      <c r="S291" s="230">
        <v>0</v>
      </c>
      <c r="T291" s="230">
        <f t="shared" si="180"/>
        <v>0</v>
      </c>
      <c r="U291" s="230">
        <f t="shared" si="181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IFERROR(__xludf.DUMMYFUNCTION("IMPORTRANGE(""https://docs.google.com/spreadsheets/d/1eHaY18a8A9IcSdp1K8H6x8fbOy06t2VsZHhMHf-1x7Y/edit?usp=sharing"",""แผน!EE20"")"),100)</f>
        <v>100</v>
      </c>
      <c r="J293" s="520">
        <v>100</v>
      </c>
      <c r="K293" s="521">
        <f t="shared" ref="K293:K294" ca="1" si="188">IF(I293&gt;0,J293*100/I293,0)</f>
        <v>100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IFERROR(__xludf.DUMMYFUNCTION("IMPORTRANGE(""https://docs.google.com/spreadsheets/d/1eHaY18a8A9IcSdp1K8H6x8fbOy06t2VsZHhMHf-1x7Y/edit?usp=sharing"",""แผน!ED20"")"),10)</f>
        <v>10</v>
      </c>
      <c r="J294" s="340">
        <f>J297</f>
        <v>10</v>
      </c>
      <c r="K294" s="518">
        <f t="shared" ca="1" si="188"/>
        <v>100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IFERROR(__xludf.DUMMYFUNCTION("IMPORTRANGE(""https://docs.google.com/spreadsheets/d/1eHaY18a8A9IcSdp1K8H6x8fbOy06t2VsZHhMHf-1x7Y/edit?usp=sharing"",""แผน!ED20"")"),10)</f>
        <v>10</v>
      </c>
      <c r="J296" s="520">
        <v>10</v>
      </c>
      <c r="K296" s="521">
        <f t="shared" ref="K296:K297" ca="1" si="189">IF(I296&gt;0,J296*100/I296,0)</f>
        <v>100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IFERROR(__xludf.DUMMYFUNCTION("IMPORTRANGE(""https://docs.google.com/spreadsheets/d/1eHaY18a8A9IcSdp1K8H6x8fbOy06t2VsZHhMHf-1x7Y/edit?usp=sharing"",""แผน!ED20"")"),10)</f>
        <v>10</v>
      </c>
      <c r="J297" s="520">
        <v>10</v>
      </c>
      <c r="K297" s="521">
        <f t="shared" ca="1" si="189"/>
        <v>100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0">I315</f>
        <v>20</v>
      </c>
      <c r="J303" s="623">
        <f t="shared" si="190"/>
        <v>20</v>
      </c>
      <c r="K303" s="624">
        <f ca="1">IF(I303&gt;0,J303*100/I303,0)</f>
        <v>100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1">L305+L306</f>
        <v>133500</v>
      </c>
      <c r="M304" s="515">
        <f t="shared" ca="1" si="191"/>
        <v>133500</v>
      </c>
      <c r="N304" s="515">
        <f t="shared" ca="1" si="191"/>
        <v>73110</v>
      </c>
      <c r="O304" s="515">
        <f t="shared" ref="O304:O312" ca="1" si="192">IF(L304&gt;0,N304*100/L304,0)</f>
        <v>54.764044943820224</v>
      </c>
      <c r="P304" s="515">
        <f t="shared" ref="P304:P312" ca="1" si="193">IF(M304&gt;0,N304*100/M304,0)</f>
        <v>54.764044943820224</v>
      </c>
      <c r="Q304" s="515">
        <f t="shared" ref="Q304:S304" ca="1" si="194">Q305+Q306</f>
        <v>144609.24</v>
      </c>
      <c r="R304" s="515">
        <f t="shared" ca="1" si="194"/>
        <v>144609</v>
      </c>
      <c r="S304" s="515">
        <f t="shared" ca="1" si="194"/>
        <v>0</v>
      </c>
      <c r="T304" s="515">
        <f t="shared" ref="T304:T312" ca="1" si="195">IF(Q304&gt;0,S304*100/Q304,0)</f>
        <v>0</v>
      </c>
      <c r="U304" s="515">
        <f t="shared" ref="U304:U312" ca="1" si="196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7">L308+L311</f>
        <v>0</v>
      </c>
      <c r="M305" s="80">
        <f t="shared" si="197"/>
        <v>0</v>
      </c>
      <c r="N305" s="80">
        <f t="shared" si="197"/>
        <v>0</v>
      </c>
      <c r="O305" s="80">
        <f t="shared" si="192"/>
        <v>0</v>
      </c>
      <c r="P305" s="80">
        <f t="shared" si="193"/>
        <v>0</v>
      </c>
      <c r="Q305" s="80">
        <f t="shared" ref="Q305:S306" si="198">Q308+Q311</f>
        <v>0</v>
      </c>
      <c r="R305" s="80">
        <f t="shared" si="198"/>
        <v>0</v>
      </c>
      <c r="S305" s="80">
        <f t="shared" si="198"/>
        <v>0</v>
      </c>
      <c r="T305" s="80">
        <f t="shared" si="195"/>
        <v>0</v>
      </c>
      <c r="U305" s="80">
        <f t="shared" si="196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7"/>
        <v>133500</v>
      </c>
      <c r="M306" s="230">
        <f t="shared" ca="1" si="197"/>
        <v>133500</v>
      </c>
      <c r="N306" s="230">
        <f t="shared" ca="1" si="197"/>
        <v>73110</v>
      </c>
      <c r="O306" s="230">
        <f t="shared" ca="1" si="192"/>
        <v>54.764044943820224</v>
      </c>
      <c r="P306" s="230">
        <f t="shared" ca="1" si="193"/>
        <v>54.764044943820224</v>
      </c>
      <c r="Q306" s="230">
        <f t="shared" ca="1" si="198"/>
        <v>144609.24</v>
      </c>
      <c r="R306" s="230">
        <f t="shared" ca="1" si="198"/>
        <v>144609</v>
      </c>
      <c r="S306" s="230">
        <f t="shared" ca="1" si="198"/>
        <v>0</v>
      </c>
      <c r="T306" s="230">
        <f t="shared" ca="1" si="195"/>
        <v>0</v>
      </c>
      <c r="U306" s="230">
        <f t="shared" ca="1" si="196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199">L308+L309</f>
        <v>133500</v>
      </c>
      <c r="M307" s="230">
        <f t="shared" ca="1" si="199"/>
        <v>133500</v>
      </c>
      <c r="N307" s="230">
        <f t="shared" ca="1" si="199"/>
        <v>73110</v>
      </c>
      <c r="O307" s="230">
        <f t="shared" ca="1" si="192"/>
        <v>54.764044943820224</v>
      </c>
      <c r="P307" s="230">
        <f t="shared" ca="1" si="193"/>
        <v>54.764044943820224</v>
      </c>
      <c r="Q307" s="230">
        <f t="shared" ref="Q307:S307" ca="1" si="200">Q308+Q309</f>
        <v>144609.24</v>
      </c>
      <c r="R307" s="230">
        <f t="shared" ca="1" si="200"/>
        <v>144609</v>
      </c>
      <c r="S307" s="230">
        <f t="shared" ca="1" si="200"/>
        <v>0</v>
      </c>
      <c r="T307" s="230">
        <f t="shared" ca="1" si="195"/>
        <v>0</v>
      </c>
      <c r="U307" s="230">
        <f t="shared" ca="1" si="196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2"/>
        <v>0</v>
      </c>
      <c r="P308" s="80">
        <f t="shared" si="193"/>
        <v>0</v>
      </c>
      <c r="Q308" s="80">
        <v>0</v>
      </c>
      <c r="R308" s="80">
        <v>0</v>
      </c>
      <c r="S308" s="80">
        <v>0</v>
      </c>
      <c r="T308" s="80">
        <f t="shared" si="195"/>
        <v>0</v>
      </c>
      <c r="U308" s="80">
        <f t="shared" si="196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IFERROR(__xludf.DUMMYFUNCTION("IMPORTRANGE(""https://docs.google.com/spreadsheets/d/1-uDff_7J0KD5mKrp0Vvzr7lt3OU09vwQwhkpOPPYv2Y/edit?usp=sharing"",""งบพรบ!DY20"")"),133500)</f>
        <v>133500</v>
      </c>
      <c r="M309" s="230">
        <f ca="1">IFERROR(__xludf.DUMMYFUNCTION("IMPORTRANGE(""https://docs.google.com/spreadsheets/d/1-uDff_7J0KD5mKrp0Vvzr7lt3OU09vwQwhkpOPPYv2Y/edit?usp=sharing"",""งบพรบ!ED20"")"),133500)</f>
        <v>133500</v>
      </c>
      <c r="N309" s="230">
        <f ca="1">IFERROR(__xludf.DUMMYFUNCTION("IMPORTRANGE(""https://docs.google.com/spreadsheets/d/1-uDff_7J0KD5mKrp0Vvzr7lt3OU09vwQwhkpOPPYv2Y/edit?usp=sharing"",""งบพรบ!EF20"")"),73110)</f>
        <v>73110</v>
      </c>
      <c r="O309" s="230">
        <f t="shared" ca="1" si="192"/>
        <v>54.764044943820224</v>
      </c>
      <c r="P309" s="230">
        <f t="shared" ca="1" si="193"/>
        <v>54.764044943820224</v>
      </c>
      <c r="Q309" s="230">
        <f ca="1">IFERROR(__xludf.DUMMYFUNCTION("IMPORTRANGE(""https://docs.google.com/spreadsheets/d/1ItG2mGa2ceCfYo0BwxsXqNm01IGEUdYcSSLTEv9YCik/edit?usp=sharing"",""เบิกจ่ายกองทุน!AP20"")"),144609.24)</f>
        <v>144609.24</v>
      </c>
      <c r="R309" s="230">
        <f ca="1">IFERROR(__xludf.DUMMYFUNCTION("IMPORTRANGE(""https://docs.google.com/spreadsheets/d/1ItG2mGa2ceCfYo0BwxsXqNm01IGEUdYcSSLTEv9YCik/edit?usp=sharing"",""เบิกจ่ายกองทุน!AQ20"")"),144609)</f>
        <v>144609</v>
      </c>
      <c r="S309" s="230">
        <f ca="1">IFERROR(__xludf.DUMMYFUNCTION("IMPORTRANGE(""https://docs.google.com/spreadsheets/d/1ItG2mGa2ceCfYo0BwxsXqNm01IGEUdYcSSLTEv9YCik/edit?usp=sharing"",""เบิกจ่ายกองทุน!AR20"")"),0)</f>
        <v>0</v>
      </c>
      <c r="T309" s="230">
        <f t="shared" ca="1" si="195"/>
        <v>0</v>
      </c>
      <c r="U309" s="230">
        <f t="shared" ca="1" si="196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1">L311+L312</f>
        <v>0</v>
      </c>
      <c r="M310" s="230">
        <f t="shared" ca="1" si="201"/>
        <v>0</v>
      </c>
      <c r="N310" s="230">
        <f t="shared" ca="1" si="201"/>
        <v>0</v>
      </c>
      <c r="O310" s="230">
        <f t="shared" ca="1" si="192"/>
        <v>0</v>
      </c>
      <c r="P310" s="230">
        <f t="shared" ca="1" si="193"/>
        <v>0</v>
      </c>
      <c r="Q310" s="230">
        <f t="shared" ref="Q310:S310" si="202">Q311+Q312</f>
        <v>0</v>
      </c>
      <c r="R310" s="230">
        <f t="shared" si="202"/>
        <v>0</v>
      </c>
      <c r="S310" s="230">
        <f t="shared" si="202"/>
        <v>0</v>
      </c>
      <c r="T310" s="230">
        <f t="shared" si="195"/>
        <v>0</v>
      </c>
      <c r="U310" s="230">
        <f t="shared" si="196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2"/>
        <v>0</v>
      </c>
      <c r="P311" s="80">
        <f t="shared" si="193"/>
        <v>0</v>
      </c>
      <c r="Q311" s="80">
        <v>0</v>
      </c>
      <c r="R311" s="80">
        <v>0</v>
      </c>
      <c r="S311" s="80">
        <v>0</v>
      </c>
      <c r="T311" s="80">
        <f t="shared" si="195"/>
        <v>0</v>
      </c>
      <c r="U311" s="80">
        <f t="shared" si="196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IFERROR(__xludf.DUMMYFUNCTION("IMPORTRANGE(""https://docs.google.com/spreadsheets/d/1-uDff_7J0KD5mKrp0Vvzr7lt3OU09vwQwhkpOPPYv2Y/edit?usp=sharing"",""งบพรบ!EB20"")"),0)</f>
        <v>0</v>
      </c>
      <c r="M312" s="230">
        <f ca="1">IFERROR(__xludf.DUMMYFUNCTION("IMPORTRANGE(""https://docs.google.com/spreadsheets/d/1-uDff_7J0KD5mKrp0Vvzr7lt3OU09vwQwhkpOPPYv2Y/edit?usp=sharing"",""งบพรบ!EE20"")"),0)</f>
        <v>0</v>
      </c>
      <c r="N312" s="230">
        <f ca="1">IFERROR(__xludf.DUMMYFUNCTION("IMPORTRANGE(""https://docs.google.com/spreadsheets/d/1-uDff_7J0KD5mKrp0Vvzr7lt3OU09vwQwhkpOPPYv2Y/edit?usp=sharing"",""งบพรบ!EG20"")"),0)</f>
        <v>0</v>
      </c>
      <c r="O312" s="230">
        <f t="shared" ca="1" si="192"/>
        <v>0</v>
      </c>
      <c r="P312" s="230">
        <f t="shared" ca="1" si="193"/>
        <v>0</v>
      </c>
      <c r="Q312" s="230">
        <v>0</v>
      </c>
      <c r="R312" s="230">
        <v>0</v>
      </c>
      <c r="S312" s="230">
        <v>0</v>
      </c>
      <c r="T312" s="230">
        <f t="shared" si="195"/>
        <v>0</v>
      </c>
      <c r="U312" s="230">
        <f t="shared" si="196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IFERROR(__xludf.DUMMYFUNCTION("IMPORTRANGE(""https://docs.google.com/spreadsheets/d/1eHaY18a8A9IcSdp1K8H6x8fbOy06t2VsZHhMHf-1x7Y/edit?usp=sharing"",""แผน!EF20"")"),20)</f>
        <v>20</v>
      </c>
      <c r="J315" s="520">
        <v>20</v>
      </c>
      <c r="K315" s="230">
        <f ca="1">IF(I315&gt;0,J315*100/I315,0)</f>
        <v>100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3">I331</f>
        <v>0</v>
      </c>
      <c r="J320" s="623">
        <f t="shared" si="203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4">L322+L323</f>
        <v>0</v>
      </c>
      <c r="M321" s="515">
        <f t="shared" ca="1" si="204"/>
        <v>0</v>
      </c>
      <c r="N321" s="515">
        <f t="shared" ca="1" si="204"/>
        <v>0</v>
      </c>
      <c r="O321" s="515">
        <f t="shared" ref="O321:O329" ca="1" si="205">IF(L321&gt;0,N321*100/L321,0)</f>
        <v>0</v>
      </c>
      <c r="P321" s="515">
        <f t="shared" ref="P321:P329" ca="1" si="206">IF(M321&gt;0,N321*100/M321,0)</f>
        <v>0</v>
      </c>
      <c r="Q321" s="515">
        <f t="shared" ref="Q321:S321" si="207">Q322+Q323</f>
        <v>0</v>
      </c>
      <c r="R321" s="515">
        <f t="shared" si="207"/>
        <v>0</v>
      </c>
      <c r="S321" s="515">
        <f t="shared" si="207"/>
        <v>0</v>
      </c>
      <c r="T321" s="515">
        <f t="shared" ref="T321:T329" si="208">IF(Q321&gt;0,S321*100/Q321,0)</f>
        <v>0</v>
      </c>
      <c r="U321" s="515">
        <f t="shared" ref="U321:U329" si="209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0">L325+L328</f>
        <v>0</v>
      </c>
      <c r="M322" s="80">
        <f t="shared" si="210"/>
        <v>0</v>
      </c>
      <c r="N322" s="80">
        <f t="shared" si="210"/>
        <v>0</v>
      </c>
      <c r="O322" s="80">
        <f t="shared" si="205"/>
        <v>0</v>
      </c>
      <c r="P322" s="80">
        <f t="shared" si="206"/>
        <v>0</v>
      </c>
      <c r="Q322" s="80">
        <f t="shared" ref="Q322:S323" si="211">Q325+Q328</f>
        <v>0</v>
      </c>
      <c r="R322" s="80">
        <f t="shared" si="211"/>
        <v>0</v>
      </c>
      <c r="S322" s="80">
        <f t="shared" si="211"/>
        <v>0</v>
      </c>
      <c r="T322" s="80">
        <f t="shared" si="208"/>
        <v>0</v>
      </c>
      <c r="U322" s="80">
        <f t="shared" si="209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0"/>
        <v>0</v>
      </c>
      <c r="M323" s="230">
        <f t="shared" ca="1" si="210"/>
        <v>0</v>
      </c>
      <c r="N323" s="230">
        <f t="shared" ca="1" si="210"/>
        <v>0</v>
      </c>
      <c r="O323" s="230">
        <f t="shared" ca="1" si="205"/>
        <v>0</v>
      </c>
      <c r="P323" s="230">
        <f t="shared" ca="1" si="206"/>
        <v>0</v>
      </c>
      <c r="Q323" s="230">
        <f t="shared" si="211"/>
        <v>0</v>
      </c>
      <c r="R323" s="230">
        <f t="shared" si="211"/>
        <v>0</v>
      </c>
      <c r="S323" s="230">
        <f t="shared" si="211"/>
        <v>0</v>
      </c>
      <c r="T323" s="230">
        <f t="shared" si="208"/>
        <v>0</v>
      </c>
      <c r="U323" s="230">
        <f t="shared" si="209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2">L325+L326</f>
        <v>0</v>
      </c>
      <c r="M324" s="230">
        <f t="shared" ca="1" si="212"/>
        <v>0</v>
      </c>
      <c r="N324" s="230">
        <f t="shared" ca="1" si="212"/>
        <v>0</v>
      </c>
      <c r="O324" s="230">
        <f t="shared" ca="1" si="205"/>
        <v>0</v>
      </c>
      <c r="P324" s="230">
        <f t="shared" ca="1" si="206"/>
        <v>0</v>
      </c>
      <c r="Q324" s="230">
        <f t="shared" ref="Q324:S324" si="213">Q325+Q326</f>
        <v>0</v>
      </c>
      <c r="R324" s="230">
        <f t="shared" si="213"/>
        <v>0</v>
      </c>
      <c r="S324" s="230">
        <f t="shared" si="213"/>
        <v>0</v>
      </c>
      <c r="T324" s="230">
        <f t="shared" si="208"/>
        <v>0</v>
      </c>
      <c r="U324" s="230">
        <f t="shared" si="209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5"/>
        <v>0</v>
      </c>
      <c r="P325" s="80">
        <f t="shared" si="206"/>
        <v>0</v>
      </c>
      <c r="Q325" s="80">
        <v>0</v>
      </c>
      <c r="R325" s="80">
        <v>0</v>
      </c>
      <c r="S325" s="80">
        <v>0</v>
      </c>
      <c r="T325" s="80">
        <f t="shared" si="208"/>
        <v>0</v>
      </c>
      <c r="U325" s="80">
        <f t="shared" si="209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IFERROR(__xludf.DUMMYFUNCTION("IMPORTRANGE(""https://docs.google.com/spreadsheets/d/1-uDff_7J0KD5mKrp0Vvzr7lt3OU09vwQwhkpOPPYv2Y/edit?usp=sharing"",""งบพรบ!EI20"")"),0)</f>
        <v>0</v>
      </c>
      <c r="M326" s="230">
        <f ca="1">IFERROR(__xludf.DUMMYFUNCTION("IMPORTRANGE(""https://docs.google.com/spreadsheets/d/1-uDff_7J0KD5mKrp0Vvzr7lt3OU09vwQwhkpOPPYv2Y/edit?usp=sharing"",""งบพรบ!EN20"")"),0)</f>
        <v>0</v>
      </c>
      <c r="N326" s="230">
        <f ca="1">IFERROR(__xludf.DUMMYFUNCTION("IMPORTRANGE(""https://docs.google.com/spreadsheets/d/1-uDff_7J0KD5mKrp0Vvzr7lt3OU09vwQwhkpOPPYv2Y/edit?usp=sharing"",""งบพรบ!EP20"")"),0)</f>
        <v>0</v>
      </c>
      <c r="O326" s="230">
        <f t="shared" ca="1" si="205"/>
        <v>0</v>
      </c>
      <c r="P326" s="230">
        <f t="shared" ca="1" si="206"/>
        <v>0</v>
      </c>
      <c r="Q326" s="230">
        <v>0</v>
      </c>
      <c r="R326" s="230">
        <v>0</v>
      </c>
      <c r="S326" s="230">
        <v>0</v>
      </c>
      <c r="T326" s="230">
        <f t="shared" si="208"/>
        <v>0</v>
      </c>
      <c r="U326" s="230">
        <f t="shared" si="209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4">L328+L329</f>
        <v>0</v>
      </c>
      <c r="M327" s="230">
        <f t="shared" ca="1" si="214"/>
        <v>0</v>
      </c>
      <c r="N327" s="230">
        <f t="shared" ca="1" si="214"/>
        <v>0</v>
      </c>
      <c r="O327" s="230">
        <f t="shared" ca="1" si="205"/>
        <v>0</v>
      </c>
      <c r="P327" s="230">
        <f t="shared" ca="1" si="206"/>
        <v>0</v>
      </c>
      <c r="Q327" s="230">
        <f t="shared" ref="Q327:S327" si="215">Q328+Q329</f>
        <v>0</v>
      </c>
      <c r="R327" s="230">
        <f t="shared" si="215"/>
        <v>0</v>
      </c>
      <c r="S327" s="230">
        <f t="shared" si="215"/>
        <v>0</v>
      </c>
      <c r="T327" s="230">
        <f t="shared" si="208"/>
        <v>0</v>
      </c>
      <c r="U327" s="230">
        <f t="shared" si="209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5"/>
        <v>0</v>
      </c>
      <c r="P328" s="80">
        <f t="shared" si="206"/>
        <v>0</v>
      </c>
      <c r="Q328" s="80">
        <v>0</v>
      </c>
      <c r="R328" s="80">
        <v>0</v>
      </c>
      <c r="S328" s="80">
        <v>0</v>
      </c>
      <c r="T328" s="80">
        <f t="shared" si="208"/>
        <v>0</v>
      </c>
      <c r="U328" s="80">
        <f t="shared" si="209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IFERROR(__xludf.DUMMYFUNCTION("IMPORTRANGE(""https://docs.google.com/spreadsheets/d/1-uDff_7J0KD5mKrp0Vvzr7lt3OU09vwQwhkpOPPYv2Y/edit?usp=sharing"",""งบพรบ!EL20"")"),0)</f>
        <v>0</v>
      </c>
      <c r="M329" s="230">
        <f ca="1">IFERROR(__xludf.DUMMYFUNCTION("IMPORTRANGE(""https://docs.google.com/spreadsheets/d/1-uDff_7J0KD5mKrp0Vvzr7lt3OU09vwQwhkpOPPYv2Y/edit?usp=sharing"",""งบพรบ!EO20"")"),0)</f>
        <v>0</v>
      </c>
      <c r="N329" s="230">
        <f ca="1">IFERROR(__xludf.DUMMYFUNCTION("IMPORTRANGE(""https://docs.google.com/spreadsheets/d/1-uDff_7J0KD5mKrp0Vvzr7lt3OU09vwQwhkpOPPYv2Y/edit?usp=sharing"",""งบพรบ!EQ20"")"),0)</f>
        <v>0</v>
      </c>
      <c r="O329" s="230">
        <f t="shared" ca="1" si="205"/>
        <v>0</v>
      </c>
      <c r="P329" s="230">
        <f t="shared" ca="1" si="206"/>
        <v>0</v>
      </c>
      <c r="Q329" s="230">
        <v>0</v>
      </c>
      <c r="R329" s="230">
        <v>0</v>
      </c>
      <c r="S329" s="230">
        <v>0</v>
      </c>
      <c r="T329" s="230">
        <f t="shared" si="208"/>
        <v>0</v>
      </c>
      <c r="U329" s="230">
        <f t="shared" si="209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IFERROR(__xludf.DUMMYFUNCTION("IMPORTRANGE(""https://docs.google.com/spreadsheets/d/1eHaY18a8A9IcSdp1K8H6x8fbOy06t2VsZHhMHf-1x7Y/edit?usp=sharing"",""แผน!EJ20"")"),0)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1060</v>
      </c>
      <c r="J333" s="635">
        <f ca="1">J345+J348+J349+J350+J354</f>
        <v>7719</v>
      </c>
      <c r="K333" s="636">
        <f ca="1">IF(I333&gt;0,J333*100/I333,0)</f>
        <v>728.20754716981128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6">L335+L336</f>
        <v>106000</v>
      </c>
      <c r="M334" s="515">
        <f t="shared" ca="1" si="216"/>
        <v>111000</v>
      </c>
      <c r="N334" s="515">
        <f t="shared" ca="1" si="216"/>
        <v>55630</v>
      </c>
      <c r="O334" s="515">
        <f t="shared" ref="O334:O342" ca="1" si="217">IF(L334&gt;0,N334*100/L334,0)</f>
        <v>52.481132075471699</v>
      </c>
      <c r="P334" s="515">
        <f t="shared" ref="P334:P342" ca="1" si="218">IF(M334&gt;0,N334*100/M334,0)</f>
        <v>50.117117117117118</v>
      </c>
      <c r="Q334" s="515">
        <f t="shared" ref="Q334:S334" si="219">Q335+Q336</f>
        <v>0</v>
      </c>
      <c r="R334" s="515">
        <f t="shared" si="219"/>
        <v>0</v>
      </c>
      <c r="S334" s="515">
        <f t="shared" si="219"/>
        <v>0</v>
      </c>
      <c r="T334" s="515">
        <f t="shared" ref="T334:T342" si="220">IF(Q334&gt;0,S334*100/Q334,0)</f>
        <v>0</v>
      </c>
      <c r="U334" s="515">
        <f t="shared" ref="U334:U342" si="221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2">L338+L341</f>
        <v>0</v>
      </c>
      <c r="M335" s="80">
        <f t="shared" si="222"/>
        <v>0</v>
      </c>
      <c r="N335" s="80">
        <f t="shared" si="222"/>
        <v>0</v>
      </c>
      <c r="O335" s="80">
        <f t="shared" si="217"/>
        <v>0</v>
      </c>
      <c r="P335" s="80">
        <f t="shared" si="218"/>
        <v>0</v>
      </c>
      <c r="Q335" s="80">
        <f t="shared" ref="Q335:S336" si="223">Q338+Q341</f>
        <v>0</v>
      </c>
      <c r="R335" s="80">
        <f t="shared" si="223"/>
        <v>0</v>
      </c>
      <c r="S335" s="80">
        <f t="shared" si="223"/>
        <v>0</v>
      </c>
      <c r="T335" s="80">
        <f t="shared" si="220"/>
        <v>0</v>
      </c>
      <c r="U335" s="80">
        <f t="shared" si="221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2"/>
        <v>106000</v>
      </c>
      <c r="M336" s="230">
        <f t="shared" ca="1" si="222"/>
        <v>111000</v>
      </c>
      <c r="N336" s="230">
        <f t="shared" ca="1" si="222"/>
        <v>55630</v>
      </c>
      <c r="O336" s="230">
        <f t="shared" ca="1" si="217"/>
        <v>52.481132075471699</v>
      </c>
      <c r="P336" s="230">
        <f t="shared" ca="1" si="218"/>
        <v>50.117117117117118</v>
      </c>
      <c r="Q336" s="230">
        <f t="shared" si="223"/>
        <v>0</v>
      </c>
      <c r="R336" s="230">
        <f t="shared" si="223"/>
        <v>0</v>
      </c>
      <c r="S336" s="230">
        <f t="shared" si="223"/>
        <v>0</v>
      </c>
      <c r="T336" s="230">
        <f t="shared" si="220"/>
        <v>0</v>
      </c>
      <c r="U336" s="230">
        <f t="shared" si="221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4">L338+L339</f>
        <v>106000</v>
      </c>
      <c r="M337" s="230">
        <f t="shared" ca="1" si="224"/>
        <v>111000</v>
      </c>
      <c r="N337" s="230">
        <f t="shared" ca="1" si="224"/>
        <v>55630</v>
      </c>
      <c r="O337" s="230">
        <f t="shared" ca="1" si="217"/>
        <v>52.481132075471699</v>
      </c>
      <c r="P337" s="230">
        <f t="shared" ca="1" si="218"/>
        <v>50.117117117117118</v>
      </c>
      <c r="Q337" s="230">
        <f t="shared" ref="Q337:S337" si="225">Q338+Q339</f>
        <v>0</v>
      </c>
      <c r="R337" s="230">
        <f t="shared" si="225"/>
        <v>0</v>
      </c>
      <c r="S337" s="230">
        <f t="shared" si="225"/>
        <v>0</v>
      </c>
      <c r="T337" s="230">
        <f t="shared" si="220"/>
        <v>0</v>
      </c>
      <c r="U337" s="230">
        <f t="shared" si="221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7"/>
        <v>0</v>
      </c>
      <c r="P338" s="80">
        <f t="shared" si="218"/>
        <v>0</v>
      </c>
      <c r="Q338" s="80">
        <v>0</v>
      </c>
      <c r="R338" s="80">
        <v>0</v>
      </c>
      <c r="S338" s="80">
        <v>0</v>
      </c>
      <c r="T338" s="80">
        <f t="shared" si="220"/>
        <v>0</v>
      </c>
      <c r="U338" s="80">
        <f t="shared" si="221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IFERROR(__xludf.DUMMYFUNCTION("IMPORTRANGE(""https://docs.google.com/spreadsheets/d/1-uDff_7J0KD5mKrp0Vvzr7lt3OU09vwQwhkpOPPYv2Y/edit?usp=sharing"",""งบพรบ!ES20"")"),106000)</f>
        <v>106000</v>
      </c>
      <c r="M339" s="230">
        <f ca="1">IFERROR(__xludf.DUMMYFUNCTION("IMPORTRANGE(""https://docs.google.com/spreadsheets/d/1-uDff_7J0KD5mKrp0Vvzr7lt3OU09vwQwhkpOPPYv2Y/edit?usp=sharing"",""งบพรบ!EX20"")"),111000)</f>
        <v>111000</v>
      </c>
      <c r="N339" s="230">
        <f ca="1">IFERROR(__xludf.DUMMYFUNCTION("IMPORTRANGE(""https://docs.google.com/spreadsheets/d/1-uDff_7J0KD5mKrp0Vvzr7lt3OU09vwQwhkpOPPYv2Y/edit?usp=sharing"",""งบพรบ!EZ20"")"),55630)</f>
        <v>55630</v>
      </c>
      <c r="O339" s="230">
        <f t="shared" ca="1" si="217"/>
        <v>52.481132075471699</v>
      </c>
      <c r="P339" s="230">
        <f t="shared" ca="1" si="218"/>
        <v>50.117117117117118</v>
      </c>
      <c r="Q339" s="230">
        <v>0</v>
      </c>
      <c r="R339" s="230">
        <v>0</v>
      </c>
      <c r="S339" s="230">
        <v>0</v>
      </c>
      <c r="T339" s="230">
        <f t="shared" si="220"/>
        <v>0</v>
      </c>
      <c r="U339" s="230">
        <f t="shared" si="221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6">L341+L342</f>
        <v>0</v>
      </c>
      <c r="M340" s="230">
        <f t="shared" ca="1" si="226"/>
        <v>0</v>
      </c>
      <c r="N340" s="230">
        <f t="shared" ca="1" si="226"/>
        <v>0</v>
      </c>
      <c r="O340" s="230">
        <f t="shared" ca="1" si="217"/>
        <v>0</v>
      </c>
      <c r="P340" s="230">
        <f t="shared" ca="1" si="218"/>
        <v>0</v>
      </c>
      <c r="Q340" s="230">
        <f t="shared" ref="Q340:S340" si="227">Q341+Q342</f>
        <v>0</v>
      </c>
      <c r="R340" s="230">
        <f t="shared" si="227"/>
        <v>0</v>
      </c>
      <c r="S340" s="230">
        <f t="shared" si="227"/>
        <v>0</v>
      </c>
      <c r="T340" s="230">
        <f t="shared" si="220"/>
        <v>0</v>
      </c>
      <c r="U340" s="230">
        <f t="shared" si="221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7"/>
        <v>0</v>
      </c>
      <c r="P341" s="80">
        <f t="shared" si="218"/>
        <v>0</v>
      </c>
      <c r="Q341" s="80">
        <v>0</v>
      </c>
      <c r="R341" s="80">
        <v>0</v>
      </c>
      <c r="S341" s="80">
        <v>0</v>
      </c>
      <c r="T341" s="80">
        <f t="shared" si="220"/>
        <v>0</v>
      </c>
      <c r="U341" s="80">
        <f t="shared" si="221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IFERROR(__xludf.DUMMYFUNCTION("IMPORTRANGE(""https://docs.google.com/spreadsheets/d/1-uDff_7J0KD5mKrp0Vvzr7lt3OU09vwQwhkpOPPYv2Y/edit?usp=sharing"",""งบพรบ!EV20"")"),0)</f>
        <v>0</v>
      </c>
      <c r="M342" s="230">
        <f ca="1">IFERROR(__xludf.DUMMYFUNCTION("IMPORTRANGE(""https://docs.google.com/spreadsheets/d/1-uDff_7J0KD5mKrp0Vvzr7lt3OU09vwQwhkpOPPYv2Y/edit?usp=sharing"",""งบพรบ!EY20"")"),0)</f>
        <v>0</v>
      </c>
      <c r="N342" s="230">
        <f ca="1">IFERROR(__xludf.DUMMYFUNCTION("IMPORTRANGE(""https://docs.google.com/spreadsheets/d/1-uDff_7J0KD5mKrp0Vvzr7lt3OU09vwQwhkpOPPYv2Y/edit?usp=sharing"",""งบพรบ!FA20"")"),0)</f>
        <v>0</v>
      </c>
      <c r="O342" s="230">
        <f t="shared" ca="1" si="217"/>
        <v>0</v>
      </c>
      <c r="P342" s="230">
        <f t="shared" ca="1" si="218"/>
        <v>0</v>
      </c>
      <c r="Q342" s="230">
        <v>0</v>
      </c>
      <c r="R342" s="230">
        <v>0</v>
      </c>
      <c r="S342" s="230">
        <v>0</v>
      </c>
      <c r="T342" s="230">
        <f t="shared" si="220"/>
        <v>0</v>
      </c>
      <c r="U342" s="230">
        <f t="shared" si="221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1674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IFERROR(__xludf.DUMMYFUNCTION("IMPORTRANGE(""https://docs.google.com/spreadsheets/d/1eHaY18a8A9IcSdp1K8H6x8fbOy06t2VsZHhMHf-1x7Y/edit?usp=sharing"",""แผน!EK20"")"),1060)</f>
        <v>1060</v>
      </c>
      <c r="J345" s="189">
        <f ca="1">IFERROR(__xludf.DUMMYFUNCTION("IMPORTRANGE(""https://docs.google.com/spreadsheets/d/1awYsYK3VOup2i3Pq_Yjnu8DRu_mYwSBnCR2QPthd0rU/edit?usp=sharing"",""ศูนย์ยกเว้นโฉนด!D20"")"),1672)</f>
        <v>1672</v>
      </c>
      <c r="K345" s="230">
        <f ca="1">IF(I345&gt;0,J345*100/I345,0)</f>
        <v>157.73584905660377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IFERROR(__xludf.DUMMYFUNCTION("IMPORTRANGE(""https://docs.google.com/spreadsheets/d/1eHaY18a8A9IcSdp1K8H6x8fbOy06t2VsZHhMHf-1x7Y/edit?usp=sharing"",""แผน!EL20"")"),3)</f>
        <v>3</v>
      </c>
      <c r="J347" s="189">
        <f ca="1">IFERROR(__xludf.DUMMYFUNCTION("IMPORTRANGE(""https://docs.google.com/spreadsheets/d/1awYsYK3VOup2i3Pq_Yjnu8DRu_mYwSBnCR2QPthd0rU/edit?usp=sharing"",""ศูนย์รวม!E20"")"),1)</f>
        <v>1</v>
      </c>
      <c r="K347" s="230">
        <f ca="1">IF(I347&gt;0,J347*100/I347,0)</f>
        <v>33.333333333333336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IFERROR(__xludf.DUMMYFUNCTION("IMPORTRANGE(""https://docs.google.com/spreadsheets/d/1awYsYK3VOup2i3Pq_Yjnu8DRu_mYwSBnCR2QPthd0rU/edit?usp=sharing"",""ศูนย์ยกเว้นโฉนด!F20"")"),0)</f>
        <v>0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IFERROR(__xludf.DUMMYFUNCTION("IMPORTRANGE(""https://docs.google.com/spreadsheets/d/1awYsYK3VOup2i3Pq_Yjnu8DRu_mYwSBnCR2QPthd0rU/edit?usp=sharing"",""ศูนย์ยกเว้นโฉนด!G20"")"),2)</f>
        <v>2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IFERROR(__xludf.DUMMYFUNCTION("IMPORTRANGE(""https://docs.google.com/spreadsheets/d/1awYsYK3VOup2i3Pq_Yjnu8DRu_mYwSBnCR2QPthd0rU/edit?usp=sharing"",""ศูนย์ยกเว้นโฉนด!H20"")"),0)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11134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IFERROR(__xludf.DUMMYFUNCTION("IMPORTRANGE(""https://docs.google.com/spreadsheets/d/1awYsYK3VOup2i3Pq_Yjnu8DRu_mYwSBnCR2QPthd0rU/edit?usp=sharing"",""โฉนดM3!G20"")"),5089)</f>
        <v>5089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IFERROR(__xludf.DUMMYFUNCTION("IMPORTRANGE(""https://docs.google.com/spreadsheets/d/1awYsYK3VOup2i3Pq_Yjnu8DRu_mYwSBnCR2QPthd0rU/edit?usp=sharing"",""โฉนดM3!H20"")"),6045)</f>
        <v>6045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8">L358+L359</f>
        <v>235980</v>
      </c>
      <c r="M357" s="515">
        <f t="shared" ca="1" si="228"/>
        <v>245900</v>
      </c>
      <c r="N357" s="515">
        <f t="shared" ca="1" si="228"/>
        <v>103753.21</v>
      </c>
      <c r="O357" s="515">
        <f t="shared" ref="O357:O365" ca="1" si="229">IF(L357&gt;0,N357*100/L357,0)</f>
        <v>43.966950589032969</v>
      </c>
      <c r="P357" s="515">
        <f t="shared" ref="P357:P365" ca="1" si="230">IF(M357&gt;0,N357*100/M357,0)</f>
        <v>42.193253355022364</v>
      </c>
      <c r="Q357" s="515">
        <f t="shared" ref="Q357:S357" si="231">Q358+Q359</f>
        <v>0</v>
      </c>
      <c r="R357" s="515">
        <f t="shared" si="231"/>
        <v>0</v>
      </c>
      <c r="S357" s="515">
        <f t="shared" si="231"/>
        <v>0</v>
      </c>
      <c r="T357" s="515">
        <f t="shared" ref="T357:T365" si="232">IF(Q357&gt;0,S357*100/Q357,0)</f>
        <v>0</v>
      </c>
      <c r="U357" s="515">
        <f t="shared" ref="U357:U365" si="233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4">L361+L364</f>
        <v>0</v>
      </c>
      <c r="M358" s="80">
        <f t="shared" si="234"/>
        <v>0</v>
      </c>
      <c r="N358" s="80">
        <f t="shared" si="234"/>
        <v>0</v>
      </c>
      <c r="O358" s="80">
        <f t="shared" si="229"/>
        <v>0</v>
      </c>
      <c r="P358" s="80">
        <f t="shared" si="230"/>
        <v>0</v>
      </c>
      <c r="Q358" s="80">
        <f t="shared" ref="Q358:S359" si="235">Q361+Q364</f>
        <v>0</v>
      </c>
      <c r="R358" s="80">
        <f t="shared" si="235"/>
        <v>0</v>
      </c>
      <c r="S358" s="80">
        <f t="shared" si="235"/>
        <v>0</v>
      </c>
      <c r="T358" s="80">
        <f t="shared" si="232"/>
        <v>0</v>
      </c>
      <c r="U358" s="80">
        <f t="shared" si="233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4"/>
        <v>235980</v>
      </c>
      <c r="M359" s="230">
        <f t="shared" ca="1" si="234"/>
        <v>245900</v>
      </c>
      <c r="N359" s="230">
        <f t="shared" ca="1" si="234"/>
        <v>103753.21</v>
      </c>
      <c r="O359" s="230">
        <f t="shared" ca="1" si="229"/>
        <v>43.966950589032969</v>
      </c>
      <c r="P359" s="230">
        <f t="shared" ca="1" si="230"/>
        <v>42.193253355022364</v>
      </c>
      <c r="Q359" s="230">
        <f t="shared" si="235"/>
        <v>0</v>
      </c>
      <c r="R359" s="230">
        <f t="shared" si="235"/>
        <v>0</v>
      </c>
      <c r="S359" s="230">
        <f t="shared" si="235"/>
        <v>0</v>
      </c>
      <c r="T359" s="230">
        <f t="shared" si="232"/>
        <v>0</v>
      </c>
      <c r="U359" s="230">
        <f t="shared" si="233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6">L361+L362</f>
        <v>235980</v>
      </c>
      <c r="M360" s="230">
        <f t="shared" ca="1" si="236"/>
        <v>245900</v>
      </c>
      <c r="N360" s="230">
        <f t="shared" ca="1" si="236"/>
        <v>103753.21</v>
      </c>
      <c r="O360" s="230">
        <f t="shared" ca="1" si="229"/>
        <v>43.966950589032969</v>
      </c>
      <c r="P360" s="230">
        <f t="shared" ca="1" si="230"/>
        <v>42.193253355022364</v>
      </c>
      <c r="Q360" s="230">
        <f t="shared" ref="Q360:S360" si="237">Q361+Q362</f>
        <v>0</v>
      </c>
      <c r="R360" s="230">
        <f t="shared" si="237"/>
        <v>0</v>
      </c>
      <c r="S360" s="230">
        <f t="shared" si="237"/>
        <v>0</v>
      </c>
      <c r="T360" s="230">
        <f t="shared" si="232"/>
        <v>0</v>
      </c>
      <c r="U360" s="230">
        <f t="shared" si="233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29"/>
        <v>0</v>
      </c>
      <c r="P361" s="80">
        <f t="shared" si="230"/>
        <v>0</v>
      </c>
      <c r="Q361" s="80">
        <v>0</v>
      </c>
      <c r="R361" s="80">
        <v>0</v>
      </c>
      <c r="S361" s="80">
        <v>0</v>
      </c>
      <c r="T361" s="80">
        <f t="shared" si="232"/>
        <v>0</v>
      </c>
      <c r="U361" s="80">
        <f t="shared" si="233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IFERROR(__xludf.DUMMYFUNCTION("IMPORTRANGE(""https://docs.google.com/spreadsheets/d/1-uDff_7J0KD5mKrp0Vvzr7lt3OU09vwQwhkpOPPYv2Y/edit?usp=sharing"",""งบพรบ!FC20"")"),235980)</f>
        <v>235980</v>
      </c>
      <c r="M362" s="230">
        <f ca="1">IFERROR(__xludf.DUMMYFUNCTION("IMPORTRANGE(""https://docs.google.com/spreadsheets/d/1-uDff_7J0KD5mKrp0Vvzr7lt3OU09vwQwhkpOPPYv2Y/edit?usp=sharing"",""งบพรบ!FH20"")"),245900)</f>
        <v>245900</v>
      </c>
      <c r="N362" s="230">
        <f ca="1">IFERROR(__xludf.DUMMYFUNCTION("IMPORTRANGE(""https://docs.google.com/spreadsheets/d/1-uDff_7J0KD5mKrp0Vvzr7lt3OU09vwQwhkpOPPYv2Y/edit?usp=sharing"",""งบพรบ!FJ20"")"),103753.21)</f>
        <v>103753.21</v>
      </c>
      <c r="O362" s="230">
        <f t="shared" ca="1" si="229"/>
        <v>43.966950589032969</v>
      </c>
      <c r="P362" s="230">
        <f t="shared" ca="1" si="230"/>
        <v>42.193253355022364</v>
      </c>
      <c r="Q362" s="230">
        <v>0</v>
      </c>
      <c r="R362" s="230">
        <v>0</v>
      </c>
      <c r="S362" s="230">
        <v>0</v>
      </c>
      <c r="T362" s="230">
        <f t="shared" si="232"/>
        <v>0</v>
      </c>
      <c r="U362" s="230">
        <f t="shared" si="233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8">L364+L365</f>
        <v>0</v>
      </c>
      <c r="M363" s="230">
        <f t="shared" ca="1" si="238"/>
        <v>0</v>
      </c>
      <c r="N363" s="230">
        <f t="shared" ca="1" si="238"/>
        <v>0</v>
      </c>
      <c r="O363" s="230">
        <f t="shared" ca="1" si="229"/>
        <v>0</v>
      </c>
      <c r="P363" s="230">
        <f t="shared" ca="1" si="230"/>
        <v>0</v>
      </c>
      <c r="Q363" s="230">
        <f t="shared" ref="Q363:S363" si="239">Q364+Q365</f>
        <v>0</v>
      </c>
      <c r="R363" s="230">
        <f t="shared" si="239"/>
        <v>0</v>
      </c>
      <c r="S363" s="230">
        <f t="shared" si="239"/>
        <v>0</v>
      </c>
      <c r="T363" s="230">
        <f t="shared" si="232"/>
        <v>0</v>
      </c>
      <c r="U363" s="230">
        <f t="shared" si="233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29"/>
        <v>0</v>
      </c>
      <c r="P364" s="80">
        <f t="shared" si="230"/>
        <v>0</v>
      </c>
      <c r="Q364" s="80">
        <v>0</v>
      </c>
      <c r="R364" s="80">
        <v>0</v>
      </c>
      <c r="S364" s="80">
        <v>0</v>
      </c>
      <c r="T364" s="80">
        <f t="shared" si="232"/>
        <v>0</v>
      </c>
      <c r="U364" s="80">
        <f t="shared" si="233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IFERROR(__xludf.DUMMYFUNCTION("IMPORTRANGE(""https://docs.google.com/spreadsheets/d/1-uDff_7J0KD5mKrp0Vvzr7lt3OU09vwQwhkpOPPYv2Y/edit?usp=sharing"",""งบพรบ!FF20"")"),0)</f>
        <v>0</v>
      </c>
      <c r="M365" s="230">
        <f ca="1">IFERROR(__xludf.DUMMYFUNCTION("IMPORTRANGE(""https://docs.google.com/spreadsheets/d/1-uDff_7J0KD5mKrp0Vvzr7lt3OU09vwQwhkpOPPYv2Y/edit?usp=sharing"",""งบพรบ!FI20"")"),0)</f>
        <v>0</v>
      </c>
      <c r="N365" s="230">
        <f ca="1">IFERROR(__xludf.DUMMYFUNCTION("IMPORTRANGE(""https://docs.google.com/spreadsheets/d/1-uDff_7J0KD5mKrp0Vvzr7lt3OU09vwQwhkpOPPYv2Y/edit?usp=sharing"",""งบพรบ!FK20"")"),0)</f>
        <v>0</v>
      </c>
      <c r="O365" s="230">
        <f t="shared" ca="1" si="229"/>
        <v>0</v>
      </c>
      <c r="P365" s="230">
        <f t="shared" ca="1" si="230"/>
        <v>0</v>
      </c>
      <c r="Q365" s="230">
        <v>0</v>
      </c>
      <c r="R365" s="230">
        <v>0</v>
      </c>
      <c r="S365" s="230">
        <v>0</v>
      </c>
      <c r="T365" s="230">
        <f t="shared" si="232"/>
        <v>0</v>
      </c>
      <c r="U365" s="230">
        <f t="shared" si="233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0">I372</f>
        <v>123</v>
      </c>
      <c r="J366" s="313">
        <f t="shared" ca="1" si="240"/>
        <v>92</v>
      </c>
      <c r="K366" s="314">
        <f ca="1">IF(I366&gt;0,J366*100/I366,0)</f>
        <v>74.796747967479675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IFERROR(__xludf.DUMMYFUNCTION("IMPORTRANGE(""https://docs.google.com/spreadsheets/d/1tdoBKaGub7dwA3U6UFTqxio9LNnvDCQjHKmttSEBsFQ/edit?usp=sharing"",""จัดที่ดิน!AB20"")"),71)</f>
        <v>71</v>
      </c>
      <c r="K368" s="230">
        <f t="shared" ref="K368:K373" si="241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IFERROR(__xludf.DUMMYFUNCTION("IMPORTRANGE(""https://docs.google.com/spreadsheets/d/1eHaY18a8A9IcSdp1K8H6x8fbOy06t2VsZHhMHf-1x7Y/edit?usp=sharing"",""แผน!EW20"")"),1145)</f>
        <v>1145</v>
      </c>
      <c r="J369" s="646">
        <f ca="1">IFERROR(__xludf.DUMMYFUNCTION("IMPORTRANGE(""https://docs.google.com/spreadsheets/d/1tdoBKaGub7dwA3U6UFTqxio9LNnvDCQjHKmttSEBsFQ/edit?usp=sharing"",""จัดที่ดิน!AC20"")"),442.25)</f>
        <v>442.25</v>
      </c>
      <c r="K369" s="230">
        <f t="shared" ca="1" si="241"/>
        <v>38.624454148471614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IFERROR(__xludf.DUMMYFUNCTION("IMPORTRANGE(""https://docs.google.com/spreadsheets/d/1eHaY18a8A9IcSdp1K8H6x8fbOy06t2VsZHhMHf-1x7Y/edit?usp=sharing"",""แผน!EX20"")"),184)</f>
        <v>184</v>
      </c>
      <c r="J370" s="189">
        <f ca="1">IFERROR(__xludf.DUMMYFUNCTION("IMPORTRANGE(""https://docs.google.com/spreadsheets/d/1tdoBKaGub7dwA3U6UFTqxio9LNnvDCQjHKmttSEBsFQ/edit?usp=sharing"",""จัดที่ดิน!AD20"")"),94)</f>
        <v>94</v>
      </c>
      <c r="K370" s="230">
        <f t="shared" ca="1" si="241"/>
        <v>51.086956521739133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IFERROR(__xludf.DUMMYFUNCTION("IMPORTRANGE(""https://docs.google.com/spreadsheets/d/1tdoBKaGub7dwA3U6UFTqxio9LNnvDCQjHKmttSEBsFQ/edit?usp=sharing"",""จัดที่ดิน!AE20"")"),779.94)</f>
        <v>779.94</v>
      </c>
      <c r="K371" s="230">
        <f t="shared" si="241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IFERROR(__xludf.DUMMYFUNCTION("IMPORTRANGE(""https://docs.google.com/spreadsheets/d/1eHaY18a8A9IcSdp1K8H6x8fbOy06t2VsZHhMHf-1x7Y/edit?usp=sharing"",""แผน!EY20"")"),123)</f>
        <v>123</v>
      </c>
      <c r="J372" s="189">
        <f ca="1">IFERROR(__xludf.DUMMYFUNCTION("IMPORTRANGE(""https://docs.google.com/spreadsheets/d/1tdoBKaGub7dwA3U6UFTqxio9LNnvDCQjHKmttSEBsFQ/edit?usp=sharing"",""จัดที่ดิน!AF20"")"),92)</f>
        <v>92</v>
      </c>
      <c r="K372" s="230">
        <f t="shared" ca="1" si="241"/>
        <v>74.796747967479675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IFERROR(__xludf.DUMMYFUNCTION("IMPORTRANGE(""https://docs.google.com/spreadsheets/d/1tdoBKaGub7dwA3U6UFTqxio9LNnvDCQjHKmttSEBsFQ/edit?usp=sharing"",""จัดที่ดิน!AG20"")"),702.9)</f>
        <v>702.9</v>
      </c>
      <c r="K373" s="230">
        <f t="shared" si="241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774"/>
      <c r="B375" s="775" t="s">
        <v>153</v>
      </c>
      <c r="C375" s="776"/>
      <c r="D375" s="777"/>
      <c r="E375" s="778"/>
      <c r="F375" s="778"/>
      <c r="G375" s="779"/>
      <c r="H375" s="780" t="s">
        <v>46</v>
      </c>
      <c r="I375" s="781">
        <f t="shared" ref="I375:J375" ca="1" si="242">I387+I389</f>
        <v>88400</v>
      </c>
      <c r="J375" s="781">
        <f t="shared" ca="1" si="242"/>
        <v>3107</v>
      </c>
      <c r="K375" s="782">
        <f ca="1">IF(I375&gt;0,J375*100/I375,0)</f>
        <v>3.5147058823529411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574"/>
      <c r="B376" s="658"/>
      <c r="C376" s="744" t="s">
        <v>18</v>
      </c>
      <c r="D376" s="783" t="s">
        <v>19</v>
      </c>
      <c r="E376" s="575"/>
      <c r="F376" s="575"/>
      <c r="G376" s="578"/>
      <c r="H376" s="579" t="s">
        <v>14</v>
      </c>
      <c r="I376" s="580"/>
      <c r="J376" s="580"/>
      <c r="K376" s="581"/>
      <c r="L376" s="514">
        <f t="shared" ref="L376:N376" si="243">L377+L378</f>
        <v>0</v>
      </c>
      <c r="M376" s="515">
        <f t="shared" si="243"/>
        <v>0</v>
      </c>
      <c r="N376" s="515">
        <f t="shared" si="243"/>
        <v>0</v>
      </c>
      <c r="O376" s="515">
        <f t="shared" ref="O376:O384" si="244">IF(L376&gt;0,N376*100/L376,0)</f>
        <v>0</v>
      </c>
      <c r="P376" s="515">
        <f t="shared" ref="P376:P384" si="245">IF(M376&gt;0,N376*100/M376,0)</f>
        <v>0</v>
      </c>
      <c r="Q376" s="515">
        <f t="shared" ref="Q376:S376" ca="1" si="246">Q377+Q378</f>
        <v>125000</v>
      </c>
      <c r="R376" s="515">
        <f t="shared" ca="1" si="246"/>
        <v>0</v>
      </c>
      <c r="S376" s="515">
        <f t="shared" ca="1" si="246"/>
        <v>0</v>
      </c>
      <c r="T376" s="515">
        <f t="shared" ref="T376:T384" ca="1" si="247">IF(Q376&gt;0,S376*100/Q376,0)</f>
        <v>0</v>
      </c>
      <c r="U376" s="515">
        <f t="shared" ref="U376:U384" ca="1" si="248">IF(R376&gt;0,S376*100/R376,0)</f>
        <v>0</v>
      </c>
    </row>
    <row r="377" spans="1:21" ht="18.75" hidden="1" x14ac:dyDescent="0.25">
      <c r="A377" s="574"/>
      <c r="B377" s="658"/>
      <c r="C377" s="658"/>
      <c r="D377" s="658"/>
      <c r="E377" s="589" t="s">
        <v>20</v>
      </c>
      <c r="F377" s="575"/>
      <c r="G377" s="578"/>
      <c r="H377" s="590" t="s">
        <v>14</v>
      </c>
      <c r="I377" s="580"/>
      <c r="J377" s="580"/>
      <c r="K377" s="581"/>
      <c r="L377" s="483">
        <f t="shared" ref="L377:N378" si="249">L380+L383</f>
        <v>0</v>
      </c>
      <c r="M377" s="80">
        <f t="shared" si="249"/>
        <v>0</v>
      </c>
      <c r="N377" s="80">
        <f t="shared" si="249"/>
        <v>0</v>
      </c>
      <c r="O377" s="80">
        <f t="shared" si="244"/>
        <v>0</v>
      </c>
      <c r="P377" s="80">
        <f t="shared" si="245"/>
        <v>0</v>
      </c>
      <c r="Q377" s="80">
        <f t="shared" ref="Q377:S378" si="250">Q380+Q383</f>
        <v>0</v>
      </c>
      <c r="R377" s="80">
        <f t="shared" si="250"/>
        <v>0</v>
      </c>
      <c r="S377" s="80">
        <f t="shared" si="250"/>
        <v>0</v>
      </c>
      <c r="T377" s="80">
        <f t="shared" si="247"/>
        <v>0</v>
      </c>
      <c r="U377" s="80">
        <f t="shared" si="248"/>
        <v>0</v>
      </c>
    </row>
    <row r="378" spans="1:21" ht="18.75" hidden="1" x14ac:dyDescent="0.25">
      <c r="A378" s="574"/>
      <c r="B378" s="658"/>
      <c r="C378" s="658"/>
      <c r="D378" s="658"/>
      <c r="E378" s="589" t="s">
        <v>21</v>
      </c>
      <c r="F378" s="575"/>
      <c r="G378" s="578"/>
      <c r="H378" s="590" t="s">
        <v>14</v>
      </c>
      <c r="I378" s="580"/>
      <c r="J378" s="580"/>
      <c r="K378" s="581"/>
      <c r="L378" s="481">
        <f t="shared" si="249"/>
        <v>0</v>
      </c>
      <c r="M378" s="230">
        <f t="shared" si="249"/>
        <v>0</v>
      </c>
      <c r="N378" s="230">
        <f t="shared" si="249"/>
        <v>0</v>
      </c>
      <c r="O378" s="230">
        <f t="shared" si="244"/>
        <v>0</v>
      </c>
      <c r="P378" s="230">
        <f t="shared" si="245"/>
        <v>0</v>
      </c>
      <c r="Q378" s="230">
        <f t="shared" ca="1" si="250"/>
        <v>125000</v>
      </c>
      <c r="R378" s="230">
        <f t="shared" ca="1" si="250"/>
        <v>0</v>
      </c>
      <c r="S378" s="230">
        <f t="shared" ca="1" si="250"/>
        <v>0</v>
      </c>
      <c r="T378" s="230">
        <f t="shared" ca="1" si="247"/>
        <v>0</v>
      </c>
      <c r="U378" s="230">
        <f t="shared" ca="1" si="248"/>
        <v>0</v>
      </c>
    </row>
    <row r="379" spans="1:21" ht="18.75" x14ac:dyDescent="0.25">
      <c r="A379" s="574"/>
      <c r="B379" s="658"/>
      <c r="C379" s="658"/>
      <c r="D379" s="784" t="s">
        <v>22</v>
      </c>
      <c r="E379" s="575"/>
      <c r="F379" s="575"/>
      <c r="G379" s="578"/>
      <c r="H379" s="594" t="s">
        <v>14</v>
      </c>
      <c r="I379" s="595"/>
      <c r="J379" s="595"/>
      <c r="K379" s="596"/>
      <c r="L379" s="481">
        <f t="shared" ref="L379:N379" si="251">L380+L381</f>
        <v>0</v>
      </c>
      <c r="M379" s="230">
        <f t="shared" si="251"/>
        <v>0</v>
      </c>
      <c r="N379" s="230">
        <f t="shared" si="251"/>
        <v>0</v>
      </c>
      <c r="O379" s="230">
        <f t="shared" si="244"/>
        <v>0</v>
      </c>
      <c r="P379" s="230">
        <f t="shared" si="245"/>
        <v>0</v>
      </c>
      <c r="Q379" s="230">
        <f t="shared" ref="Q379:S379" ca="1" si="252">Q380+Q381</f>
        <v>125000</v>
      </c>
      <c r="R379" s="230">
        <f t="shared" ca="1" si="252"/>
        <v>0</v>
      </c>
      <c r="S379" s="230">
        <f t="shared" ca="1" si="252"/>
        <v>0</v>
      </c>
      <c r="T379" s="230">
        <f t="shared" ca="1" si="247"/>
        <v>0</v>
      </c>
      <c r="U379" s="230">
        <f t="shared" ca="1" si="248"/>
        <v>0</v>
      </c>
    </row>
    <row r="380" spans="1:21" ht="18.75" hidden="1" x14ac:dyDescent="0.25">
      <c r="A380" s="574"/>
      <c r="B380" s="658"/>
      <c r="C380" s="658"/>
      <c r="D380" s="658"/>
      <c r="E380" s="589" t="s">
        <v>36</v>
      </c>
      <c r="F380" s="575"/>
      <c r="G380" s="578"/>
      <c r="H380" s="594" t="s">
        <v>14</v>
      </c>
      <c r="I380" s="595"/>
      <c r="J380" s="595"/>
      <c r="K380" s="596"/>
      <c r="L380" s="483">
        <v>0</v>
      </c>
      <c r="M380" s="80">
        <v>0</v>
      </c>
      <c r="N380" s="80">
        <v>0</v>
      </c>
      <c r="O380" s="80">
        <f t="shared" si="244"/>
        <v>0</v>
      </c>
      <c r="P380" s="80">
        <f t="shared" si="245"/>
        <v>0</v>
      </c>
      <c r="Q380" s="80">
        <v>0</v>
      </c>
      <c r="R380" s="80">
        <v>0</v>
      </c>
      <c r="S380" s="80">
        <v>0</v>
      </c>
      <c r="T380" s="80">
        <f t="shared" si="247"/>
        <v>0</v>
      </c>
      <c r="U380" s="80">
        <f t="shared" si="248"/>
        <v>0</v>
      </c>
    </row>
    <row r="381" spans="1:21" ht="18.75" hidden="1" x14ac:dyDescent="0.25">
      <c r="A381" s="574"/>
      <c r="B381" s="658"/>
      <c r="C381" s="658"/>
      <c r="D381" s="658"/>
      <c r="E381" s="659" t="s">
        <v>37</v>
      </c>
      <c r="F381" s="658"/>
      <c r="G381" s="660"/>
      <c r="H381" s="594" t="s">
        <v>14</v>
      </c>
      <c r="I381" s="595"/>
      <c r="J381" s="595"/>
      <c r="K381" s="596"/>
      <c r="L381" s="481">
        <v>0</v>
      </c>
      <c r="M381" s="230">
        <v>0</v>
      </c>
      <c r="N381" s="230">
        <v>0</v>
      </c>
      <c r="O381" s="230">
        <f t="shared" si="244"/>
        <v>0</v>
      </c>
      <c r="P381" s="230">
        <f t="shared" si="245"/>
        <v>0</v>
      </c>
      <c r="Q381" s="230">
        <f ca="1">IFERROR(__xludf.DUMMYFUNCTION("IMPORTRANGE(""https://docs.google.com/spreadsheets/d/1ItG2mGa2ceCfYo0BwxsXqNm01IGEUdYcSSLTEv9YCik/edit?usp=sharing"",""เบิกจ่ายกองทุน!AY20"")"),125000)</f>
        <v>125000</v>
      </c>
      <c r="R381" s="230">
        <f ca="1">IFERROR(__xludf.DUMMYFUNCTION("IMPORTRANGE(""https://docs.google.com/spreadsheets/d/1ItG2mGa2ceCfYo0BwxsXqNm01IGEUdYcSSLTEv9YCik/edit?usp=sharing"",""เบิกจ่ายกองทุน!AZ20"")"),0)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IFERROR(__xludf.DUMMYFUNCTION("IMPORTRANGE(""https://docs.google.com/spreadsheets/d/1ItG2mGa2ceCfYo0BwxsXqNm01IGEUdYcSSLTEv9YCik/edit?usp=sharing"",""เบิกจ่ายกองทุน!BA20"")"),0)</f>
        <v>0</v>
      </c>
      <c r="T381" s="230">
        <f t="shared" ca="1" si="247"/>
        <v>0</v>
      </c>
      <c r="U381" s="230">
        <f t="shared" ca="1" si="248"/>
        <v>0</v>
      </c>
    </row>
    <row r="382" spans="1:21" ht="18.75" x14ac:dyDescent="0.25">
      <c r="A382" s="574"/>
      <c r="B382" s="658"/>
      <c r="C382" s="658"/>
      <c r="D382" s="784" t="s">
        <v>23</v>
      </c>
      <c r="E382" s="575"/>
      <c r="F382" s="575"/>
      <c r="G382" s="578"/>
      <c r="H382" s="599" t="s">
        <v>14</v>
      </c>
      <c r="I382" s="595"/>
      <c r="J382" s="595"/>
      <c r="K382" s="596"/>
      <c r="L382" s="481">
        <f t="shared" ref="L382:N382" si="253">L383+L384</f>
        <v>0</v>
      </c>
      <c r="M382" s="230">
        <f t="shared" si="253"/>
        <v>0</v>
      </c>
      <c r="N382" s="230">
        <f t="shared" si="253"/>
        <v>0</v>
      </c>
      <c r="O382" s="230">
        <f t="shared" si="244"/>
        <v>0</v>
      </c>
      <c r="P382" s="230">
        <f t="shared" si="245"/>
        <v>0</v>
      </c>
      <c r="Q382" s="230">
        <f t="shared" ref="Q382:S382" si="254">Q383+Q384</f>
        <v>0</v>
      </c>
      <c r="R382" s="230">
        <f t="shared" si="254"/>
        <v>0</v>
      </c>
      <c r="S382" s="230">
        <f t="shared" si="254"/>
        <v>0</v>
      </c>
      <c r="T382" s="230">
        <f t="shared" si="247"/>
        <v>0</v>
      </c>
      <c r="U382" s="230">
        <f t="shared" si="248"/>
        <v>0</v>
      </c>
    </row>
    <row r="383" spans="1:21" ht="18.75" hidden="1" x14ac:dyDescent="0.25">
      <c r="A383" s="574"/>
      <c r="B383" s="658"/>
      <c r="C383" s="658"/>
      <c r="D383" s="658"/>
      <c r="E383" s="589" t="s">
        <v>20</v>
      </c>
      <c r="F383" s="575"/>
      <c r="G383" s="578"/>
      <c r="H383" s="594" t="s">
        <v>14</v>
      </c>
      <c r="I383" s="595"/>
      <c r="J383" s="595"/>
      <c r="K383" s="596"/>
      <c r="L383" s="483">
        <v>0</v>
      </c>
      <c r="M383" s="80">
        <v>0</v>
      </c>
      <c r="N383" s="80">
        <v>0</v>
      </c>
      <c r="O383" s="80">
        <f t="shared" si="244"/>
        <v>0</v>
      </c>
      <c r="P383" s="80">
        <f t="shared" si="245"/>
        <v>0</v>
      </c>
      <c r="Q383" s="80">
        <v>0</v>
      </c>
      <c r="R383" s="80">
        <v>0</v>
      </c>
      <c r="S383" s="80">
        <v>0</v>
      </c>
      <c r="T383" s="80">
        <f t="shared" si="247"/>
        <v>0</v>
      </c>
      <c r="U383" s="80">
        <f t="shared" si="248"/>
        <v>0</v>
      </c>
    </row>
    <row r="384" spans="1:21" ht="18.75" hidden="1" x14ac:dyDescent="0.25">
      <c r="A384" s="574"/>
      <c r="B384" s="658"/>
      <c r="C384" s="658"/>
      <c r="D384" s="658"/>
      <c r="E384" s="589" t="s">
        <v>21</v>
      </c>
      <c r="F384" s="575"/>
      <c r="G384" s="578"/>
      <c r="H384" s="599" t="s">
        <v>14</v>
      </c>
      <c r="I384" s="595"/>
      <c r="J384" s="595"/>
      <c r="K384" s="596"/>
      <c r="L384" s="481">
        <v>0</v>
      </c>
      <c r="M384" s="230">
        <v>0</v>
      </c>
      <c r="N384" s="230">
        <v>0</v>
      </c>
      <c r="O384" s="230">
        <f t="shared" si="244"/>
        <v>0</v>
      </c>
      <c r="P384" s="230">
        <f t="shared" si="245"/>
        <v>0</v>
      </c>
      <c r="Q384" s="230">
        <v>0</v>
      </c>
      <c r="R384" s="230">
        <v>0</v>
      </c>
      <c r="S384" s="230">
        <v>0</v>
      </c>
      <c r="T384" s="230">
        <f t="shared" si="247"/>
        <v>0</v>
      </c>
      <c r="U384" s="230">
        <f t="shared" si="248"/>
        <v>0</v>
      </c>
    </row>
    <row r="385" spans="1:21" ht="19.5" x14ac:dyDescent="0.3">
      <c r="A385" s="600"/>
      <c r="B385" s="601"/>
      <c r="C385" s="744" t="s">
        <v>18</v>
      </c>
      <c r="D385" s="785" t="s">
        <v>38</v>
      </c>
      <c r="E385" s="567"/>
      <c r="F385" s="567"/>
      <c r="G385" s="568"/>
      <c r="H385" s="786"/>
      <c r="I385" s="595"/>
      <c r="J385" s="580"/>
      <c r="K385" s="581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743"/>
      <c r="B386" s="658"/>
      <c r="C386" s="658"/>
      <c r="D386" s="658"/>
      <c r="E386" s="589" t="s">
        <v>154</v>
      </c>
      <c r="F386" s="575"/>
      <c r="G386" s="578"/>
      <c r="H386" s="590" t="s">
        <v>34</v>
      </c>
      <c r="I386" s="661">
        <v>0</v>
      </c>
      <c r="J386" s="661">
        <f ca="1">IFERROR(__xludf.DUMMYFUNCTION("IMPORTRANGE(""https://docs.google.com/spreadsheets/d/1w5rwWK1o49a35cNtocGL0gxDwhFSTZUQu90BiH9_zqM/edit?usp=sharing"",""RTK!H20"")"),3)</f>
        <v>3</v>
      </c>
      <c r="K386" s="592">
        <f t="shared" ref="K386:K389" si="255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658"/>
      <c r="B387" s="658"/>
      <c r="C387" s="658"/>
      <c r="D387" s="658"/>
      <c r="E387" s="658"/>
      <c r="F387" s="658"/>
      <c r="G387" s="660"/>
      <c r="H387" s="590" t="s">
        <v>46</v>
      </c>
      <c r="I387" s="661">
        <f ca="1">IFERROR(__xludf.DUMMYFUNCTION("IMPORTRANGE(""https://docs.google.com/spreadsheets/d/1w5rwWK1o49a35cNtocGL0gxDwhFSTZUQu90BiH9_zqM/edit?usp=sharing"",""RTK!G20"")"),2000)</f>
        <v>2000</v>
      </c>
      <c r="J387" s="661">
        <f ca="1">IFERROR(__xludf.DUMMYFUNCTION("IMPORTRANGE(""https://docs.google.com/spreadsheets/d/1w5rwWK1o49a35cNtocGL0gxDwhFSTZUQu90BiH9_zqM/edit?usp=sharing"",""RTK!I20"")"),10)</f>
        <v>10</v>
      </c>
      <c r="K387" s="592">
        <f t="shared" ca="1" si="255"/>
        <v>0.5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IFERROR(__xludf.DUMMYFUNCTION("IMPORTRANGE(""https://docs.google.com/spreadsheets/d/1w5rwWK1o49a35cNtocGL0gxDwhFSTZUQu90BiH9_zqM/edit?usp=sharing"",""RTK!L20"")"),567)</f>
        <v>567</v>
      </c>
      <c r="K388" s="592">
        <f t="shared" si="255"/>
        <v>0</v>
      </c>
      <c r="L388" s="484"/>
      <c r="M388" s="42"/>
      <c r="N388" s="42"/>
      <c r="O388" s="42"/>
      <c r="P388" s="42"/>
      <c r="Q388" s="42"/>
      <c r="R388" s="42"/>
      <c r="S388" s="42"/>
      <c r="T388" s="42"/>
      <c r="U388" s="42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IFERROR(__xludf.DUMMYFUNCTION("IMPORTRANGE(""https://docs.google.com/spreadsheets/d/1w5rwWK1o49a35cNtocGL0gxDwhFSTZUQu90BiH9_zqM/edit?usp=sharing"",""RTK!K20"")"),86400)</f>
        <v>86400</v>
      </c>
      <c r="J389" s="661">
        <f ca="1">IFERROR(__xludf.DUMMYFUNCTION("IMPORTRANGE(""https://docs.google.com/spreadsheets/d/1w5rwWK1o49a35cNtocGL0gxDwhFSTZUQu90BiH9_zqM/edit?usp=sharing"",""RTK!M20"")"),3097)</f>
        <v>3097</v>
      </c>
      <c r="K389" s="592">
        <f t="shared" ca="1" si="255"/>
        <v>3.5844907407407409</v>
      </c>
      <c r="L389" s="484"/>
      <c r="M389" s="42"/>
      <c r="N389" s="42"/>
      <c r="O389" s="42"/>
      <c r="P389" s="42"/>
      <c r="Q389" s="42"/>
      <c r="R389" s="42"/>
      <c r="S389" s="42"/>
      <c r="T389" s="42"/>
      <c r="U389" s="42"/>
    </row>
    <row r="390" spans="1:21" ht="12.75" hidden="1" x14ac:dyDescent="0.2">
      <c r="A390" s="787"/>
      <c r="B390" s="787"/>
      <c r="C390" s="787"/>
      <c r="D390" s="787"/>
      <c r="E390" s="787"/>
      <c r="F390" s="787"/>
      <c r="G390" s="788"/>
      <c r="H390" s="788"/>
      <c r="I390" s="789"/>
      <c r="J390" s="789"/>
      <c r="K390" s="790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791"/>
      <c r="B391" s="791"/>
      <c r="C391" s="791"/>
      <c r="D391" s="791"/>
      <c r="E391" s="791"/>
      <c r="F391" s="791"/>
      <c r="G391" s="792"/>
      <c r="H391" s="792"/>
      <c r="I391" s="793"/>
      <c r="J391" s="793"/>
      <c r="K391" s="794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6">I403</f>
        <v>0</v>
      </c>
      <c r="J392" s="317">
        <f t="shared" si="256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7">L394+L395</f>
        <v>0</v>
      </c>
      <c r="M393" s="515">
        <f t="shared" si="257"/>
        <v>0</v>
      </c>
      <c r="N393" s="515">
        <f t="shared" si="257"/>
        <v>0</v>
      </c>
      <c r="O393" s="515">
        <f t="shared" ref="O393:O401" si="258">IF(L393&gt;0,N393*100/L393,0)</f>
        <v>0</v>
      </c>
      <c r="P393" s="515">
        <f t="shared" ref="P393:P401" si="259">IF(M393&gt;0,N393*100/M393,0)</f>
        <v>0</v>
      </c>
      <c r="Q393" s="515">
        <f t="shared" ref="Q393:S393" si="260">Q394+Q395</f>
        <v>0</v>
      </c>
      <c r="R393" s="515">
        <f t="shared" si="260"/>
        <v>0</v>
      </c>
      <c r="S393" s="515">
        <f t="shared" si="260"/>
        <v>0</v>
      </c>
      <c r="T393" s="515">
        <f t="shared" ref="T393:T401" si="261">IF(Q393&gt;0,S393*100/Q393,0)</f>
        <v>0</v>
      </c>
      <c r="U393" s="515">
        <f t="shared" ref="U393:U401" si="262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3">L397+L400</f>
        <v>0</v>
      </c>
      <c r="M394" s="80">
        <f t="shared" si="263"/>
        <v>0</v>
      </c>
      <c r="N394" s="80">
        <f t="shared" si="263"/>
        <v>0</v>
      </c>
      <c r="O394" s="80">
        <f t="shared" si="258"/>
        <v>0</v>
      </c>
      <c r="P394" s="80">
        <f t="shared" si="259"/>
        <v>0</v>
      </c>
      <c r="Q394" s="80">
        <f t="shared" ref="Q394:S395" si="264">Q397+Q400</f>
        <v>0</v>
      </c>
      <c r="R394" s="80">
        <f t="shared" si="264"/>
        <v>0</v>
      </c>
      <c r="S394" s="80">
        <f t="shared" si="264"/>
        <v>0</v>
      </c>
      <c r="T394" s="80">
        <f t="shared" si="261"/>
        <v>0</v>
      </c>
      <c r="U394" s="80">
        <f t="shared" si="262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3"/>
        <v>0</v>
      </c>
      <c r="M395" s="230">
        <f t="shared" si="263"/>
        <v>0</v>
      </c>
      <c r="N395" s="230">
        <f t="shared" si="263"/>
        <v>0</v>
      </c>
      <c r="O395" s="230">
        <f t="shared" si="258"/>
        <v>0</v>
      </c>
      <c r="P395" s="230">
        <f t="shared" si="259"/>
        <v>0</v>
      </c>
      <c r="Q395" s="230">
        <f t="shared" si="264"/>
        <v>0</v>
      </c>
      <c r="R395" s="230">
        <f t="shared" si="264"/>
        <v>0</v>
      </c>
      <c r="S395" s="230">
        <f t="shared" si="264"/>
        <v>0</v>
      </c>
      <c r="T395" s="230">
        <f t="shared" si="261"/>
        <v>0</v>
      </c>
      <c r="U395" s="230">
        <f t="shared" si="262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5">L397+L398</f>
        <v>0</v>
      </c>
      <c r="M396" s="230">
        <f t="shared" si="265"/>
        <v>0</v>
      </c>
      <c r="N396" s="230">
        <f t="shared" si="265"/>
        <v>0</v>
      </c>
      <c r="O396" s="230">
        <f t="shared" si="258"/>
        <v>0</v>
      </c>
      <c r="P396" s="230">
        <f t="shared" si="259"/>
        <v>0</v>
      </c>
      <c r="Q396" s="230">
        <f t="shared" ref="Q396:S396" si="266">Q397+Q398</f>
        <v>0</v>
      </c>
      <c r="R396" s="230">
        <f t="shared" si="266"/>
        <v>0</v>
      </c>
      <c r="S396" s="230">
        <f t="shared" si="266"/>
        <v>0</v>
      </c>
      <c r="T396" s="230">
        <f t="shared" si="261"/>
        <v>0</v>
      </c>
      <c r="U396" s="230">
        <f t="shared" si="262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8"/>
        <v>0</v>
      </c>
      <c r="P397" s="80">
        <f t="shared" si="259"/>
        <v>0</v>
      </c>
      <c r="Q397" s="80">
        <v>0</v>
      </c>
      <c r="R397" s="80">
        <v>0</v>
      </c>
      <c r="S397" s="80">
        <v>0</v>
      </c>
      <c r="T397" s="80">
        <f t="shared" si="261"/>
        <v>0</v>
      </c>
      <c r="U397" s="80">
        <f t="shared" si="262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8"/>
        <v>0</v>
      </c>
      <c r="P398" s="230">
        <f t="shared" si="259"/>
        <v>0</v>
      </c>
      <c r="Q398" s="230">
        <v>0</v>
      </c>
      <c r="R398" s="230">
        <v>0</v>
      </c>
      <c r="S398" s="230">
        <v>0</v>
      </c>
      <c r="T398" s="230">
        <f t="shared" si="261"/>
        <v>0</v>
      </c>
      <c r="U398" s="230">
        <f t="shared" si="262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7">L400+L401</f>
        <v>0</v>
      </c>
      <c r="M399" s="230">
        <f t="shared" si="267"/>
        <v>0</v>
      </c>
      <c r="N399" s="230">
        <f t="shared" si="267"/>
        <v>0</v>
      </c>
      <c r="O399" s="230">
        <f t="shared" si="258"/>
        <v>0</v>
      </c>
      <c r="P399" s="230">
        <f t="shared" si="259"/>
        <v>0</v>
      </c>
      <c r="Q399" s="230">
        <f t="shared" ref="Q399:S399" si="268">Q400+Q401</f>
        <v>0</v>
      </c>
      <c r="R399" s="230">
        <f t="shared" si="268"/>
        <v>0</v>
      </c>
      <c r="S399" s="230">
        <f t="shared" si="268"/>
        <v>0</v>
      </c>
      <c r="T399" s="230">
        <f t="shared" si="261"/>
        <v>0</v>
      </c>
      <c r="U399" s="230">
        <f t="shared" si="262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8"/>
        <v>0</v>
      </c>
      <c r="P400" s="80">
        <f t="shared" si="259"/>
        <v>0</v>
      </c>
      <c r="Q400" s="80">
        <v>0</v>
      </c>
      <c r="R400" s="80">
        <v>0</v>
      </c>
      <c r="S400" s="80">
        <v>0</v>
      </c>
      <c r="T400" s="80">
        <f t="shared" si="261"/>
        <v>0</v>
      </c>
      <c r="U400" s="80">
        <f t="shared" si="262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8"/>
        <v>0</v>
      </c>
      <c r="P401" s="230">
        <f t="shared" si="259"/>
        <v>0</v>
      </c>
      <c r="Q401" s="230">
        <v>0</v>
      </c>
      <c r="R401" s="230">
        <v>0</v>
      </c>
      <c r="S401" s="230">
        <v>0</v>
      </c>
      <c r="T401" s="230">
        <f t="shared" si="261"/>
        <v>0</v>
      </c>
      <c r="U401" s="230">
        <f t="shared" si="262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69">I424</f>
        <v>0</v>
      </c>
      <c r="J413" s="623">
        <f t="shared" si="269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0">L415+L416</f>
        <v>0</v>
      </c>
      <c r="M414" s="515">
        <f t="shared" si="270"/>
        <v>0</v>
      </c>
      <c r="N414" s="515">
        <f t="shared" si="270"/>
        <v>0</v>
      </c>
      <c r="O414" s="515">
        <f t="shared" ref="O414:O422" si="271">IF(L414&gt;0,N414*100/L414,0)</f>
        <v>0</v>
      </c>
      <c r="P414" s="515">
        <f t="shared" ref="P414:P422" si="272">IF(M414&gt;0,N414*100/M414,0)</f>
        <v>0</v>
      </c>
      <c r="Q414" s="515">
        <f t="shared" ref="Q414:S414" ca="1" si="273">Q415+Q416</f>
        <v>0</v>
      </c>
      <c r="R414" s="515">
        <f t="shared" ca="1" si="273"/>
        <v>0</v>
      </c>
      <c r="S414" s="515">
        <f t="shared" ca="1" si="273"/>
        <v>0</v>
      </c>
      <c r="T414" s="515">
        <f t="shared" ref="T414:T422" ca="1" si="274">IF(Q414&gt;0,S414*100/Q414,0)</f>
        <v>0</v>
      </c>
      <c r="U414" s="515">
        <f t="shared" ref="U414:U422" ca="1" si="275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6">L418+L421</f>
        <v>0</v>
      </c>
      <c r="M415" s="80">
        <f t="shared" si="276"/>
        <v>0</v>
      </c>
      <c r="N415" s="80">
        <f t="shared" si="276"/>
        <v>0</v>
      </c>
      <c r="O415" s="80">
        <f t="shared" si="271"/>
        <v>0</v>
      </c>
      <c r="P415" s="80">
        <f t="shared" si="272"/>
        <v>0</v>
      </c>
      <c r="Q415" s="80">
        <f t="shared" ref="Q415:S416" si="277">Q418+Q421</f>
        <v>0</v>
      </c>
      <c r="R415" s="80">
        <f t="shared" si="277"/>
        <v>0</v>
      </c>
      <c r="S415" s="80">
        <f t="shared" si="277"/>
        <v>0</v>
      </c>
      <c r="T415" s="80">
        <f t="shared" si="274"/>
        <v>0</v>
      </c>
      <c r="U415" s="80">
        <f t="shared" si="275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6"/>
        <v>0</v>
      </c>
      <c r="M416" s="230">
        <f t="shared" si="276"/>
        <v>0</v>
      </c>
      <c r="N416" s="230">
        <f t="shared" si="276"/>
        <v>0</v>
      </c>
      <c r="O416" s="230">
        <f t="shared" si="271"/>
        <v>0</v>
      </c>
      <c r="P416" s="230">
        <f t="shared" si="272"/>
        <v>0</v>
      </c>
      <c r="Q416" s="230">
        <f t="shared" ca="1" si="277"/>
        <v>0</v>
      </c>
      <c r="R416" s="230">
        <f t="shared" ca="1" si="277"/>
        <v>0</v>
      </c>
      <c r="S416" s="230">
        <f t="shared" ca="1" si="277"/>
        <v>0</v>
      </c>
      <c r="T416" s="230">
        <f t="shared" ca="1" si="274"/>
        <v>0</v>
      </c>
      <c r="U416" s="230">
        <f t="shared" ca="1" si="275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8">L418+L419</f>
        <v>0</v>
      </c>
      <c r="M417" s="230">
        <f t="shared" si="278"/>
        <v>0</v>
      </c>
      <c r="N417" s="230">
        <f t="shared" si="278"/>
        <v>0</v>
      </c>
      <c r="O417" s="230">
        <f t="shared" si="271"/>
        <v>0</v>
      </c>
      <c r="P417" s="230">
        <f t="shared" si="272"/>
        <v>0</v>
      </c>
      <c r="Q417" s="230">
        <f t="shared" ref="Q417:S417" ca="1" si="279">Q418+Q419</f>
        <v>0</v>
      </c>
      <c r="R417" s="230">
        <f t="shared" ca="1" si="279"/>
        <v>0</v>
      </c>
      <c r="S417" s="230">
        <f t="shared" ca="1" si="279"/>
        <v>0</v>
      </c>
      <c r="T417" s="230">
        <f t="shared" ca="1" si="274"/>
        <v>0</v>
      </c>
      <c r="U417" s="230">
        <f t="shared" ca="1" si="275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1"/>
        <v>0</v>
      </c>
      <c r="P418" s="80">
        <f t="shared" si="272"/>
        <v>0</v>
      </c>
      <c r="Q418" s="80">
        <v>0</v>
      </c>
      <c r="R418" s="80">
        <v>0</v>
      </c>
      <c r="S418" s="80">
        <v>0</v>
      </c>
      <c r="T418" s="80">
        <f t="shared" si="274"/>
        <v>0</v>
      </c>
      <c r="U418" s="80">
        <f t="shared" si="275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1"/>
        <v>0</v>
      </c>
      <c r="P419" s="230">
        <f t="shared" si="272"/>
        <v>0</v>
      </c>
      <c r="Q419" s="230">
        <f ca="1">IFERROR(__xludf.DUMMYFUNCTION("IMPORTRANGE(""https://docs.google.com/spreadsheets/d/1ItG2mGa2ceCfYo0BwxsXqNm01IGEUdYcSSLTEv9YCik/edit?usp=sharing"",""เบิกจ่ายกองทุน!BH20"")"),0)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IFERROR(__xludf.DUMMYFUNCTION("IMPORTRANGE(""https://docs.google.com/spreadsheets/d/1ItG2mGa2ceCfYo0BwxsXqNm01IGEUdYcSSLTEv9YCik/edit?usp=sharing"",""เบิกจ่ายกองทุน!BI20"")"),0)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IFERROR(__xludf.DUMMYFUNCTION("IMPORTRANGE(""https://docs.google.com/spreadsheets/d/1ItG2mGa2ceCfYo0BwxsXqNm01IGEUdYcSSLTEv9YCik/edit?usp=sharing"",""เบิกจ่ายกองทุน!BJ20"")"),0)</f>
        <v>0</v>
      </c>
      <c r="T419" s="230">
        <f t="shared" ca="1" si="274"/>
        <v>0</v>
      </c>
      <c r="U419" s="230">
        <f t="shared" ca="1" si="275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0">L421+L422</f>
        <v>0</v>
      </c>
      <c r="M420" s="230">
        <f t="shared" si="280"/>
        <v>0</v>
      </c>
      <c r="N420" s="230">
        <f t="shared" si="280"/>
        <v>0</v>
      </c>
      <c r="O420" s="230">
        <f t="shared" si="271"/>
        <v>0</v>
      </c>
      <c r="P420" s="230">
        <f t="shared" si="272"/>
        <v>0</v>
      </c>
      <c r="Q420" s="230">
        <f t="shared" ref="Q420:S420" si="281">Q421+Q422</f>
        <v>0</v>
      </c>
      <c r="R420" s="230">
        <f t="shared" si="281"/>
        <v>0</v>
      </c>
      <c r="S420" s="230">
        <f t="shared" si="281"/>
        <v>0</v>
      </c>
      <c r="T420" s="230">
        <f t="shared" si="274"/>
        <v>0</v>
      </c>
      <c r="U420" s="230">
        <f t="shared" si="275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1"/>
        <v>0</v>
      </c>
      <c r="P421" s="80">
        <f t="shared" si="272"/>
        <v>0</v>
      </c>
      <c r="Q421" s="80">
        <v>0</v>
      </c>
      <c r="R421" s="80">
        <v>0</v>
      </c>
      <c r="S421" s="80">
        <v>0</v>
      </c>
      <c r="T421" s="80">
        <f t="shared" si="274"/>
        <v>0</v>
      </c>
      <c r="U421" s="80">
        <f t="shared" si="275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1"/>
        <v>0</v>
      </c>
      <c r="P422" s="230">
        <f t="shared" si="272"/>
        <v>0</v>
      </c>
      <c r="Q422" s="230">
        <v>0</v>
      </c>
      <c r="R422" s="230">
        <v>0</v>
      </c>
      <c r="S422" s="230">
        <v>0</v>
      </c>
      <c r="T422" s="230">
        <f t="shared" si="274"/>
        <v>0</v>
      </c>
      <c r="U422" s="230">
        <f t="shared" si="275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2">I441</f>
        <v>0</v>
      </c>
      <c r="J424" s="340">
        <f t="shared" si="282"/>
        <v>0</v>
      </c>
      <c r="K424" s="515">
        <f t="shared" ref="K424:K426" ca="1" si="283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IFERROR(__xludf.DUMMYFUNCTION("IMPORTRANGE(""https://docs.google.com/spreadsheets/d/1eHaY18a8A9IcSdp1K8H6x8fbOy06t2VsZHhMHf-1x7Y/edit?usp=sharing"",""แผน!HJ20"")"),0)</f>
        <v>0</v>
      </c>
      <c r="J425" s="340">
        <f t="shared" ref="J425:J426" si="284">J427+J429+J431</f>
        <v>0</v>
      </c>
      <c r="K425" s="515">
        <f t="shared" ca="1" si="283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IFERROR(__xludf.DUMMYFUNCTION("IMPORTRANGE(""https://docs.google.com/spreadsheets/d/1eHaY18a8A9IcSdp1K8H6x8fbOy06t2VsZHhMHf-1x7Y/edit?usp=sharing"",""แผน!HK20"")"),0)</f>
        <v>0</v>
      </c>
      <c r="J426" s="340">
        <f t="shared" si="284"/>
        <v>0</v>
      </c>
      <c r="K426" s="515">
        <f t="shared" ca="1" si="283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IFERROR(__xludf.DUMMYFUNCTION("IMPORTRANGE(""https://docs.google.com/spreadsheets/d/1eHaY18a8A9IcSdp1K8H6x8fbOy06t2VsZHhMHf-1x7Y/edit?usp=sharing"",""แผน!HJ20"")"),0)</f>
        <v>0</v>
      </c>
      <c r="J433" s="340">
        <f t="shared" ref="J433:J434" si="285">J435+J437+J439</f>
        <v>0</v>
      </c>
      <c r="K433" s="515">
        <f t="shared" ref="K433:K434" ca="1" si="286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IFERROR(__xludf.DUMMYFUNCTION("IMPORTRANGE(""https://docs.google.com/spreadsheets/d/1eHaY18a8A9IcSdp1K8H6x8fbOy06t2VsZHhMHf-1x7Y/edit?usp=sharing"",""แผน!HK20"")"),0)</f>
        <v>0</v>
      </c>
      <c r="J434" s="340">
        <f t="shared" si="285"/>
        <v>0</v>
      </c>
      <c r="K434" s="515">
        <f t="shared" ca="1" si="286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IFERROR(__xludf.DUMMYFUNCTION("IMPORTRANGE(""https://docs.google.com/spreadsheets/d/1eHaY18a8A9IcSdp1K8H6x8fbOy06t2VsZHhMHf-1x7Y/edit?usp=sharing"",""แผน!HJ20"")"),0)</f>
        <v>0</v>
      </c>
      <c r="J441" s="340">
        <f t="shared" ref="J441:J442" si="287">J443+J445+J447+J453+J455</f>
        <v>0</v>
      </c>
      <c r="K441" s="515">
        <f t="shared" ref="K441:K442" ca="1" si="288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IFERROR(__xludf.DUMMYFUNCTION("IMPORTRANGE(""https://docs.google.com/spreadsheets/d/1eHaY18a8A9IcSdp1K8H6x8fbOy06t2VsZHhMHf-1x7Y/edit?usp=sharing"",""แผน!HK20"")"),0)</f>
        <v>0</v>
      </c>
      <c r="J442" s="340">
        <f t="shared" si="287"/>
        <v>0</v>
      </c>
      <c r="K442" s="515">
        <f t="shared" ca="1" si="288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89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89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0">I458</f>
        <v>0</v>
      </c>
      <c r="J457" s="340">
        <f t="shared" si="290"/>
        <v>0</v>
      </c>
      <c r="K457" s="515">
        <f t="shared" ref="K457:K459" ca="1" si="291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IFERROR(__xludf.DUMMYFUNCTION("IMPORTRANGE(""https://docs.google.com/spreadsheets/d/1eHaY18a8A9IcSdp1K8H6x8fbOy06t2VsZHhMHf-1x7Y/edit?usp=sharing"",""แผน!HL20"")"),0)</f>
        <v>0</v>
      </c>
      <c r="J458" s="340">
        <f t="shared" ref="J458:J459" si="292">J460+J468+J474</f>
        <v>0</v>
      </c>
      <c r="K458" s="515">
        <f t="shared" ca="1" si="291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IFERROR(__xludf.DUMMYFUNCTION("IMPORTRANGE(""https://docs.google.com/spreadsheets/d/1eHaY18a8A9IcSdp1K8H6x8fbOy06t2VsZHhMHf-1x7Y/edit?usp=sharing"",""แผน!HM20"")"),0)</f>
        <v>0</v>
      </c>
      <c r="J459" s="340">
        <f t="shared" si="292"/>
        <v>0</v>
      </c>
      <c r="K459" s="515">
        <f t="shared" ca="1" si="291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3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3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4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4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5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6">J479+J481</f>
        <v>0</v>
      </c>
      <c r="K477" s="515">
        <f t="shared" si="295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6"/>
        <v>0</v>
      </c>
      <c r="K478" s="515">
        <f t="shared" si="295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IFERROR(__xludf.DUMMYFUNCTION("IMPORTRANGE(""https://docs.google.com/spreadsheets/d/1eHaY18a8A9IcSdp1K8H6x8fbOy06t2VsZHhMHf-1x7Y/edit?usp=sharing"",""แผน!HN20"")"),0)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IFERROR(__xludf.DUMMYFUNCTION("IMPORTRANGE(""https://docs.google.com/spreadsheets/d/1eHaY18a8A9IcSdp1K8H6x8fbOy06t2VsZHhMHf-1x7Y/edit?usp=sharing"",""แผน!HO20"")"),0)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7">J481</f>
        <v>0</v>
      </c>
      <c r="J485" s="340">
        <f t="shared" ref="J485:J486" si="298">J487+J489+J491</f>
        <v>0</v>
      </c>
      <c r="K485" s="515">
        <f t="shared" ref="K485:K486" si="299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7"/>
        <v>0</v>
      </c>
      <c r="J486" s="340">
        <f t="shared" si="298"/>
        <v>0</v>
      </c>
      <c r="K486" s="515">
        <f t="shared" si="299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0">I504</f>
        <v>0</v>
      </c>
      <c r="J493" s="623">
        <f t="shared" ca="1" si="300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1">L495+L496</f>
        <v>0</v>
      </c>
      <c r="M494" s="515">
        <f t="shared" si="301"/>
        <v>0</v>
      </c>
      <c r="N494" s="515">
        <f t="shared" si="301"/>
        <v>0</v>
      </c>
      <c r="O494" s="515">
        <f t="shared" ref="O494:O502" si="302">IF(L494&gt;0,N494*100/L494,0)</f>
        <v>0</v>
      </c>
      <c r="P494" s="515">
        <f t="shared" ref="P494:P502" si="303">IF(M494&gt;0,N494*100/M494,0)</f>
        <v>0</v>
      </c>
      <c r="Q494" s="515">
        <f t="shared" ref="Q494:S494" ca="1" si="304">Q495+Q496</f>
        <v>0</v>
      </c>
      <c r="R494" s="515">
        <f t="shared" ca="1" si="304"/>
        <v>0</v>
      </c>
      <c r="S494" s="515">
        <f t="shared" ca="1" si="304"/>
        <v>0</v>
      </c>
      <c r="T494" s="515">
        <f t="shared" ref="T494:T502" ca="1" si="305">IF(Q494&gt;0,S494*100/Q494,0)</f>
        <v>0</v>
      </c>
      <c r="U494" s="515">
        <f t="shared" ref="U494:U502" ca="1" si="306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7">L498+L501</f>
        <v>0</v>
      </c>
      <c r="M495" s="80">
        <f t="shared" si="307"/>
        <v>0</v>
      </c>
      <c r="N495" s="80">
        <f t="shared" si="307"/>
        <v>0</v>
      </c>
      <c r="O495" s="80">
        <f t="shared" si="302"/>
        <v>0</v>
      </c>
      <c r="P495" s="80">
        <f t="shared" si="303"/>
        <v>0</v>
      </c>
      <c r="Q495" s="80">
        <f t="shared" ref="Q495:S496" si="308">Q498+Q501</f>
        <v>0</v>
      </c>
      <c r="R495" s="80">
        <f t="shared" si="308"/>
        <v>0</v>
      </c>
      <c r="S495" s="80">
        <f t="shared" si="308"/>
        <v>0</v>
      </c>
      <c r="T495" s="80">
        <f t="shared" si="305"/>
        <v>0</v>
      </c>
      <c r="U495" s="80">
        <f t="shared" si="306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7"/>
        <v>0</v>
      </c>
      <c r="M496" s="230">
        <f t="shared" si="307"/>
        <v>0</v>
      </c>
      <c r="N496" s="230">
        <f t="shared" si="307"/>
        <v>0</v>
      </c>
      <c r="O496" s="230">
        <f t="shared" si="302"/>
        <v>0</v>
      </c>
      <c r="P496" s="230">
        <f t="shared" si="303"/>
        <v>0</v>
      </c>
      <c r="Q496" s="230">
        <f t="shared" ca="1" si="308"/>
        <v>0</v>
      </c>
      <c r="R496" s="230">
        <f t="shared" ca="1" si="308"/>
        <v>0</v>
      </c>
      <c r="S496" s="230">
        <f t="shared" ca="1" si="308"/>
        <v>0</v>
      </c>
      <c r="T496" s="230">
        <f t="shared" ca="1" si="305"/>
        <v>0</v>
      </c>
      <c r="U496" s="230">
        <f t="shared" ca="1" si="306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09">L498+L499</f>
        <v>0</v>
      </c>
      <c r="M497" s="230">
        <f t="shared" si="309"/>
        <v>0</v>
      </c>
      <c r="N497" s="230">
        <f t="shared" si="309"/>
        <v>0</v>
      </c>
      <c r="O497" s="230">
        <f t="shared" si="302"/>
        <v>0</v>
      </c>
      <c r="P497" s="230">
        <f t="shared" si="303"/>
        <v>0</v>
      </c>
      <c r="Q497" s="230">
        <f t="shared" ref="Q497:S497" ca="1" si="310">Q498+Q499</f>
        <v>0</v>
      </c>
      <c r="R497" s="230">
        <f t="shared" ca="1" si="310"/>
        <v>0</v>
      </c>
      <c r="S497" s="230">
        <f t="shared" ca="1" si="310"/>
        <v>0</v>
      </c>
      <c r="T497" s="230">
        <f t="shared" ca="1" si="305"/>
        <v>0</v>
      </c>
      <c r="U497" s="230">
        <f t="shared" ca="1" si="306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2"/>
        <v>0</v>
      </c>
      <c r="P498" s="80">
        <f t="shared" si="303"/>
        <v>0</v>
      </c>
      <c r="Q498" s="80">
        <v>0</v>
      </c>
      <c r="R498" s="80">
        <v>0</v>
      </c>
      <c r="S498" s="80">
        <v>0</v>
      </c>
      <c r="T498" s="80">
        <f t="shared" si="305"/>
        <v>0</v>
      </c>
      <c r="U498" s="80">
        <f t="shared" si="306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2"/>
        <v>0</v>
      </c>
      <c r="P499" s="230">
        <f t="shared" si="303"/>
        <v>0</v>
      </c>
      <c r="Q499" s="230">
        <f ca="1">IFERROR(__xludf.DUMMYFUNCTION("IMPORTRANGE(""https://docs.google.com/spreadsheets/d/1ItG2mGa2ceCfYo0BwxsXqNm01IGEUdYcSSLTEv9YCik/edit?usp=sharing"",""เบิกจ่ายกองทุน!X20"")"),0)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IFERROR(__xludf.DUMMYFUNCTION("IMPORTRANGE(""https://docs.google.com/spreadsheets/d/1ItG2mGa2ceCfYo0BwxsXqNm01IGEUdYcSSLTEv9YCik/edit?usp=sharing"",""เบิกจ่ายกองทุน!Y20"")"),0)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IFERROR(__xludf.DUMMYFUNCTION("IMPORTRANGE(""https://docs.google.com/spreadsheets/d/1ItG2mGa2ceCfYo0BwxsXqNm01IGEUdYcSSLTEv9YCik/edit?usp=sharing"",""เบิกจ่ายกองทุน!Z20"")"),0)</f>
        <v>0</v>
      </c>
      <c r="T499" s="230">
        <f t="shared" ca="1" si="305"/>
        <v>0</v>
      </c>
      <c r="U499" s="230">
        <f t="shared" ca="1" si="306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1">L501+L502</f>
        <v>0</v>
      </c>
      <c r="M500" s="230">
        <f t="shared" si="311"/>
        <v>0</v>
      </c>
      <c r="N500" s="230">
        <f t="shared" si="311"/>
        <v>0</v>
      </c>
      <c r="O500" s="230">
        <f t="shared" si="302"/>
        <v>0</v>
      </c>
      <c r="P500" s="230">
        <f t="shared" si="303"/>
        <v>0</v>
      </c>
      <c r="Q500" s="230">
        <f t="shared" ref="Q500:S500" si="312">Q501+Q502</f>
        <v>0</v>
      </c>
      <c r="R500" s="230">
        <f t="shared" si="312"/>
        <v>0</v>
      </c>
      <c r="S500" s="230">
        <f t="shared" si="312"/>
        <v>0</v>
      </c>
      <c r="T500" s="230">
        <f t="shared" si="305"/>
        <v>0</v>
      </c>
      <c r="U500" s="230">
        <f t="shared" si="306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2"/>
        <v>0</v>
      </c>
      <c r="P501" s="80">
        <f t="shared" si="303"/>
        <v>0</v>
      </c>
      <c r="Q501" s="80">
        <v>0</v>
      </c>
      <c r="R501" s="80">
        <v>0</v>
      </c>
      <c r="S501" s="80">
        <v>0</v>
      </c>
      <c r="T501" s="80">
        <f t="shared" si="305"/>
        <v>0</v>
      </c>
      <c r="U501" s="80">
        <f t="shared" si="306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2"/>
        <v>0</v>
      </c>
      <c r="P502" s="230">
        <f t="shared" si="303"/>
        <v>0</v>
      </c>
      <c r="Q502" s="230">
        <v>0</v>
      </c>
      <c r="R502" s="230">
        <v>0</v>
      </c>
      <c r="S502" s="230">
        <v>0</v>
      </c>
      <c r="T502" s="230">
        <f t="shared" si="305"/>
        <v>0</v>
      </c>
      <c r="U502" s="230">
        <f t="shared" si="306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IFERROR(__xludf.DUMMYFUNCTION("IMPORTRANGE(""https://docs.google.com/spreadsheets/d/1eHaY18a8A9IcSdp1K8H6x8fbOy06t2VsZHhMHf-1x7Y/edit?usp=sharing"",""แผน!GX20"")"),0)</f>
        <v>0</v>
      </c>
      <c r="J504" s="340">
        <f ca="1">IF(AND(J505=I505,J506=I506,J507=I507,J508=I508),I504,0)</f>
        <v>0</v>
      </c>
      <c r="K504" s="515">
        <f t="shared" ref="K504:K510" ca="1" si="313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IFERROR(__xludf.DUMMYFUNCTION("IMPORTRANGE(""https://docs.google.com/spreadsheets/d/1eHaY18a8A9IcSdp1K8H6x8fbOy06t2VsZHhMHf-1x7Y/edit?usp=sharing"",""แผน!GY20"")"),0)</f>
        <v>0</v>
      </c>
      <c r="J505" s="520">
        <v>0</v>
      </c>
      <c r="K505" s="230">
        <f t="shared" ca="1" si="313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IFERROR(__xludf.DUMMYFUNCTION("IMPORTRANGE(""https://docs.google.com/spreadsheets/d/1eHaY18a8A9IcSdp1K8H6x8fbOy06t2VsZHhMHf-1x7Y/edit?usp=sharing"",""แผน!GZ20"")"),0)</f>
        <v>0</v>
      </c>
      <c r="J506" s="520">
        <v>0</v>
      </c>
      <c r="K506" s="230">
        <f t="shared" ca="1" si="313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IFERROR(__xludf.DUMMYFUNCTION("IMPORTRANGE(""https://docs.google.com/spreadsheets/d/1eHaY18a8A9IcSdp1K8H6x8fbOy06t2VsZHhMHf-1x7Y/edit?usp=sharing"",""แผน!HA20"")"),0)</f>
        <v>0</v>
      </c>
      <c r="J507" s="520">
        <v>0</v>
      </c>
      <c r="K507" s="230">
        <f t="shared" ca="1" si="313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IFERROR(__xludf.DUMMYFUNCTION("IMPORTRANGE(""https://docs.google.com/spreadsheets/d/1eHaY18a8A9IcSdp1K8H6x8fbOy06t2VsZHhMHf-1x7Y/edit?usp=sharing"",""แผน!HB20"")"),0)</f>
        <v>0</v>
      </c>
      <c r="J508" s="520">
        <v>0</v>
      </c>
      <c r="K508" s="230">
        <f t="shared" ca="1" si="313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3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IFERROR(__xludf.DUMMYFUNCTION("IMPORTRANGE(""https://docs.google.com/spreadsheets/d/1eHaY18a8A9IcSdp1K8H6x8fbOy06t2VsZHhMHf-1x7Y/edit?usp=sharing"",""แผน!HC20"")"),0)</f>
        <v>0</v>
      </c>
      <c r="J510" s="666">
        <v>0</v>
      </c>
      <c r="K510" s="461">
        <f t="shared" ca="1" si="313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4">I525</f>
        <v>0</v>
      </c>
      <c r="J513" s="673">
        <f t="shared" si="314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5">L515+L516</f>
        <v>0</v>
      </c>
      <c r="M514" s="515">
        <f t="shared" ca="1" si="315"/>
        <v>0</v>
      </c>
      <c r="N514" s="515">
        <f t="shared" ca="1" si="315"/>
        <v>0</v>
      </c>
      <c r="O514" s="515">
        <f t="shared" ref="O514:O522" ca="1" si="316">IF(L514&gt;0,N514*100/L514,0)</f>
        <v>0</v>
      </c>
      <c r="P514" s="515">
        <f t="shared" ref="P514:P522" ca="1" si="317">IF(M514&gt;0,N514*100/M514,0)</f>
        <v>0</v>
      </c>
      <c r="Q514" s="515">
        <f t="shared" ref="Q514:S514" si="318">Q515+Q516</f>
        <v>0</v>
      </c>
      <c r="R514" s="515">
        <f t="shared" si="318"/>
        <v>0</v>
      </c>
      <c r="S514" s="515">
        <f t="shared" si="318"/>
        <v>0</v>
      </c>
      <c r="T514" s="515">
        <f t="shared" ref="T514:T522" si="319">IF(Q514&gt;0,S514*100/Q514,0)</f>
        <v>0</v>
      </c>
      <c r="U514" s="515">
        <f t="shared" ref="U514:U522" si="320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1">L518+L521</f>
        <v>0</v>
      </c>
      <c r="M515" s="80">
        <f t="shared" si="321"/>
        <v>0</v>
      </c>
      <c r="N515" s="80">
        <f t="shared" si="321"/>
        <v>0</v>
      </c>
      <c r="O515" s="80">
        <f t="shared" si="316"/>
        <v>0</v>
      </c>
      <c r="P515" s="80">
        <f t="shared" si="317"/>
        <v>0</v>
      </c>
      <c r="Q515" s="80">
        <f t="shared" ref="Q515:S516" si="322">Q518+Q521</f>
        <v>0</v>
      </c>
      <c r="R515" s="80">
        <f t="shared" si="322"/>
        <v>0</v>
      </c>
      <c r="S515" s="80">
        <f t="shared" si="322"/>
        <v>0</v>
      </c>
      <c r="T515" s="80">
        <f t="shared" si="319"/>
        <v>0</v>
      </c>
      <c r="U515" s="80">
        <f t="shared" si="320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1"/>
        <v>0</v>
      </c>
      <c r="M516" s="230">
        <f t="shared" ca="1" si="321"/>
        <v>0</v>
      </c>
      <c r="N516" s="230">
        <f t="shared" ca="1" si="321"/>
        <v>0</v>
      </c>
      <c r="O516" s="230">
        <f t="shared" ca="1" si="316"/>
        <v>0</v>
      </c>
      <c r="P516" s="230">
        <f t="shared" ca="1" si="317"/>
        <v>0</v>
      </c>
      <c r="Q516" s="230">
        <f t="shared" si="322"/>
        <v>0</v>
      </c>
      <c r="R516" s="230">
        <f t="shared" si="322"/>
        <v>0</v>
      </c>
      <c r="S516" s="230">
        <f t="shared" si="322"/>
        <v>0</v>
      </c>
      <c r="T516" s="230">
        <f t="shared" si="319"/>
        <v>0</v>
      </c>
      <c r="U516" s="230">
        <f t="shared" si="320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3">L518+L519</f>
        <v>0</v>
      </c>
      <c r="M517" s="230">
        <f t="shared" ca="1" si="323"/>
        <v>0</v>
      </c>
      <c r="N517" s="230">
        <f t="shared" ca="1" si="323"/>
        <v>0</v>
      </c>
      <c r="O517" s="230">
        <f t="shared" ca="1" si="316"/>
        <v>0</v>
      </c>
      <c r="P517" s="230">
        <f t="shared" ca="1" si="317"/>
        <v>0</v>
      </c>
      <c r="Q517" s="230">
        <f t="shared" ref="Q517:S517" si="324">Q518+Q519</f>
        <v>0</v>
      </c>
      <c r="R517" s="230">
        <f t="shared" si="324"/>
        <v>0</v>
      </c>
      <c r="S517" s="230">
        <f t="shared" si="324"/>
        <v>0</v>
      </c>
      <c r="T517" s="230">
        <f t="shared" si="319"/>
        <v>0</v>
      </c>
      <c r="U517" s="230">
        <f t="shared" si="320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6"/>
        <v>0</v>
      </c>
      <c r="P518" s="80">
        <f t="shared" si="317"/>
        <v>0</v>
      </c>
      <c r="Q518" s="80">
        <v>0</v>
      </c>
      <c r="R518" s="80">
        <v>0</v>
      </c>
      <c r="S518" s="80">
        <v>0</v>
      </c>
      <c r="T518" s="80">
        <f t="shared" si="319"/>
        <v>0</v>
      </c>
      <c r="U518" s="80">
        <f t="shared" si="320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IFERROR(__xludf.DUMMYFUNCTION("IMPORTRANGE(""https://docs.google.com/spreadsheets/d/1-uDff_7J0KD5mKrp0Vvzr7lt3OU09vwQwhkpOPPYv2Y/edit?usp=sharing"",""งบพรบ!FM20"")"),0)</f>
        <v>0</v>
      </c>
      <c r="M519" s="230">
        <f ca="1">IFERROR(__xludf.DUMMYFUNCTION("IMPORTRANGE(""https://docs.google.com/spreadsheets/d/1-uDff_7J0KD5mKrp0Vvzr7lt3OU09vwQwhkpOPPYv2Y/edit?usp=sharing"",""งบพรบ!FR20"")"),0)</f>
        <v>0</v>
      </c>
      <c r="N519" s="230">
        <f ca="1">IFERROR(__xludf.DUMMYFUNCTION("IMPORTRANGE(""https://docs.google.com/spreadsheets/d/1-uDff_7J0KD5mKrp0Vvzr7lt3OU09vwQwhkpOPPYv2Y/edit?usp=sharing"",""งบพรบ!FT20"")"),0)</f>
        <v>0</v>
      </c>
      <c r="O519" s="230">
        <f t="shared" ca="1" si="316"/>
        <v>0</v>
      </c>
      <c r="P519" s="230">
        <f t="shared" ca="1" si="317"/>
        <v>0</v>
      </c>
      <c r="Q519" s="230">
        <v>0</v>
      </c>
      <c r="R519" s="230">
        <v>0</v>
      </c>
      <c r="S519" s="230">
        <v>0</v>
      </c>
      <c r="T519" s="230">
        <f t="shared" si="319"/>
        <v>0</v>
      </c>
      <c r="U519" s="230">
        <f t="shared" si="320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5">L521+L522</f>
        <v>0</v>
      </c>
      <c r="M520" s="230">
        <f t="shared" ca="1" si="325"/>
        <v>0</v>
      </c>
      <c r="N520" s="230">
        <f t="shared" ca="1" si="325"/>
        <v>0</v>
      </c>
      <c r="O520" s="230">
        <f t="shared" ca="1" si="316"/>
        <v>0</v>
      </c>
      <c r="P520" s="230">
        <f t="shared" ca="1" si="317"/>
        <v>0</v>
      </c>
      <c r="Q520" s="230">
        <f t="shared" ref="Q520:S520" si="326">Q521+Q522</f>
        <v>0</v>
      </c>
      <c r="R520" s="230">
        <f t="shared" si="326"/>
        <v>0</v>
      </c>
      <c r="S520" s="230">
        <f t="shared" si="326"/>
        <v>0</v>
      </c>
      <c r="T520" s="230">
        <f t="shared" si="319"/>
        <v>0</v>
      </c>
      <c r="U520" s="230">
        <f t="shared" si="320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6"/>
        <v>0</v>
      </c>
      <c r="P521" s="80">
        <f t="shared" si="317"/>
        <v>0</v>
      </c>
      <c r="Q521" s="80">
        <v>0</v>
      </c>
      <c r="R521" s="80">
        <v>0</v>
      </c>
      <c r="S521" s="80">
        <v>0</v>
      </c>
      <c r="T521" s="80">
        <f t="shared" si="319"/>
        <v>0</v>
      </c>
      <c r="U521" s="80">
        <f t="shared" si="320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IFERROR(__xludf.DUMMYFUNCTION("IMPORTRANGE(""https://docs.google.com/spreadsheets/d/1-uDff_7J0KD5mKrp0Vvzr7lt3OU09vwQwhkpOPPYv2Y/edit?usp=sharing"",""งบพรบ!FP20"")"),0)</f>
        <v>0</v>
      </c>
      <c r="M522" s="230">
        <f ca="1">IFERROR(__xludf.DUMMYFUNCTION("IMPORTRANGE(""https://docs.google.com/spreadsheets/d/1-uDff_7J0KD5mKrp0Vvzr7lt3OU09vwQwhkpOPPYv2Y/edit?usp=sharing"",""งบพรบ!FS20"")"),0)</f>
        <v>0</v>
      </c>
      <c r="N522" s="230">
        <f ca="1">IFERROR(__xludf.DUMMYFUNCTION("IMPORTRANGE(""https://docs.google.com/spreadsheets/d/1-uDff_7J0KD5mKrp0Vvzr7lt3OU09vwQwhkpOPPYv2Y/edit?usp=sharing"",""งบพรบ!FU20"")"),0)</f>
        <v>0</v>
      </c>
      <c r="O522" s="230">
        <f t="shared" ca="1" si="316"/>
        <v>0</v>
      </c>
      <c r="P522" s="230">
        <f t="shared" ca="1" si="317"/>
        <v>0</v>
      </c>
      <c r="Q522" s="230">
        <v>0</v>
      </c>
      <c r="R522" s="230">
        <v>0</v>
      </c>
      <c r="S522" s="230">
        <v>0</v>
      </c>
      <c r="T522" s="230">
        <f t="shared" si="319"/>
        <v>0</v>
      </c>
      <c r="U522" s="230">
        <f t="shared" si="320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7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7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8">I546</f>
        <v>0</v>
      </c>
      <c r="J534" s="376">
        <f t="shared" si="328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29">L536+L537</f>
        <v>0</v>
      </c>
      <c r="M535" s="515">
        <f t="shared" si="329"/>
        <v>0</v>
      </c>
      <c r="N535" s="515">
        <f t="shared" si="329"/>
        <v>0</v>
      </c>
      <c r="O535" s="515">
        <f t="shared" ref="O535:O543" si="330">IF(L535&gt;0,N535*100/L535,0)</f>
        <v>0</v>
      </c>
      <c r="P535" s="515">
        <f t="shared" ref="P535:P543" si="331">IF(M535&gt;0,N535*100/M535,0)</f>
        <v>0</v>
      </c>
      <c r="Q535" s="515">
        <f t="shared" ref="Q535:S535" si="332">Q536+Q537</f>
        <v>0</v>
      </c>
      <c r="R535" s="515">
        <f t="shared" si="332"/>
        <v>0</v>
      </c>
      <c r="S535" s="515">
        <f t="shared" si="332"/>
        <v>0</v>
      </c>
      <c r="T535" s="515">
        <f t="shared" ref="T535:T543" si="333">IF(Q535&gt;0,S535*100/Q535,0)</f>
        <v>0</v>
      </c>
      <c r="U535" s="515">
        <f t="shared" ref="U535:U543" si="334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5">L539+L542</f>
        <v>0</v>
      </c>
      <c r="M536" s="80">
        <f t="shared" si="335"/>
        <v>0</v>
      </c>
      <c r="N536" s="80">
        <f t="shared" si="335"/>
        <v>0</v>
      </c>
      <c r="O536" s="80">
        <f t="shared" si="330"/>
        <v>0</v>
      </c>
      <c r="P536" s="80">
        <f t="shared" si="331"/>
        <v>0</v>
      </c>
      <c r="Q536" s="80">
        <f t="shared" ref="Q536:S537" si="336">Q539+Q542</f>
        <v>0</v>
      </c>
      <c r="R536" s="80">
        <f t="shared" si="336"/>
        <v>0</v>
      </c>
      <c r="S536" s="80">
        <f t="shared" si="336"/>
        <v>0</v>
      </c>
      <c r="T536" s="80">
        <f t="shared" si="333"/>
        <v>0</v>
      </c>
      <c r="U536" s="80">
        <f t="shared" si="334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5"/>
        <v>0</v>
      </c>
      <c r="M537" s="230">
        <f t="shared" si="335"/>
        <v>0</v>
      </c>
      <c r="N537" s="230">
        <f t="shared" si="335"/>
        <v>0</v>
      </c>
      <c r="O537" s="230">
        <f t="shared" si="330"/>
        <v>0</v>
      </c>
      <c r="P537" s="230">
        <f t="shared" si="331"/>
        <v>0</v>
      </c>
      <c r="Q537" s="230">
        <f t="shared" si="336"/>
        <v>0</v>
      </c>
      <c r="R537" s="230">
        <f t="shared" si="336"/>
        <v>0</v>
      </c>
      <c r="S537" s="230">
        <f t="shared" si="336"/>
        <v>0</v>
      </c>
      <c r="T537" s="230">
        <f t="shared" si="333"/>
        <v>0</v>
      </c>
      <c r="U537" s="230">
        <f t="shared" si="334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7">L539+L540</f>
        <v>0</v>
      </c>
      <c r="M538" s="230">
        <f t="shared" si="337"/>
        <v>0</v>
      </c>
      <c r="N538" s="230">
        <f t="shared" si="337"/>
        <v>0</v>
      </c>
      <c r="O538" s="230">
        <f t="shared" si="330"/>
        <v>0</v>
      </c>
      <c r="P538" s="230">
        <f t="shared" si="331"/>
        <v>0</v>
      </c>
      <c r="Q538" s="230">
        <f t="shared" ref="Q538:S538" si="338">Q539+Q540</f>
        <v>0</v>
      </c>
      <c r="R538" s="230">
        <f t="shared" si="338"/>
        <v>0</v>
      </c>
      <c r="S538" s="230">
        <f t="shared" si="338"/>
        <v>0</v>
      </c>
      <c r="T538" s="230">
        <f t="shared" si="333"/>
        <v>0</v>
      </c>
      <c r="U538" s="230">
        <f t="shared" si="334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0"/>
        <v>0</v>
      </c>
      <c r="P539" s="80">
        <f t="shared" si="331"/>
        <v>0</v>
      </c>
      <c r="Q539" s="80">
        <v>0</v>
      </c>
      <c r="R539" s="80">
        <v>0</v>
      </c>
      <c r="S539" s="80">
        <v>0</v>
      </c>
      <c r="T539" s="80">
        <f t="shared" si="333"/>
        <v>0</v>
      </c>
      <c r="U539" s="80">
        <f t="shared" si="334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0"/>
        <v>0</v>
      </c>
      <c r="P540" s="230">
        <f t="shared" si="331"/>
        <v>0</v>
      </c>
      <c r="Q540" s="230">
        <v>0</v>
      </c>
      <c r="R540" s="230">
        <v>0</v>
      </c>
      <c r="S540" s="230">
        <v>0</v>
      </c>
      <c r="T540" s="230">
        <f t="shared" si="333"/>
        <v>0</v>
      </c>
      <c r="U540" s="230">
        <f t="shared" si="334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39">L542+L543</f>
        <v>0</v>
      </c>
      <c r="M541" s="230">
        <f t="shared" si="339"/>
        <v>0</v>
      </c>
      <c r="N541" s="230">
        <f t="shared" si="339"/>
        <v>0</v>
      </c>
      <c r="O541" s="230">
        <f t="shared" si="330"/>
        <v>0</v>
      </c>
      <c r="P541" s="230">
        <f t="shared" si="331"/>
        <v>0</v>
      </c>
      <c r="Q541" s="230">
        <f t="shared" ref="Q541:S541" si="340">Q542+Q543</f>
        <v>0</v>
      </c>
      <c r="R541" s="230">
        <f t="shared" si="340"/>
        <v>0</v>
      </c>
      <c r="S541" s="230">
        <f t="shared" si="340"/>
        <v>0</v>
      </c>
      <c r="T541" s="230">
        <f t="shared" si="333"/>
        <v>0</v>
      </c>
      <c r="U541" s="230">
        <f t="shared" si="334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0"/>
        <v>0</v>
      </c>
      <c r="P542" s="80">
        <f t="shared" si="331"/>
        <v>0</v>
      </c>
      <c r="Q542" s="80">
        <v>0</v>
      </c>
      <c r="R542" s="80">
        <v>0</v>
      </c>
      <c r="S542" s="80">
        <v>0</v>
      </c>
      <c r="T542" s="80">
        <f t="shared" si="333"/>
        <v>0</v>
      </c>
      <c r="U542" s="80">
        <f t="shared" si="334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0"/>
        <v>0</v>
      </c>
      <c r="P543" s="230">
        <f t="shared" si="331"/>
        <v>0</v>
      </c>
      <c r="Q543" s="230">
        <v>0</v>
      </c>
      <c r="R543" s="230">
        <v>0</v>
      </c>
      <c r="S543" s="230">
        <v>0</v>
      </c>
      <c r="T543" s="230">
        <f t="shared" si="333"/>
        <v>0</v>
      </c>
      <c r="U543" s="230">
        <f t="shared" si="334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1">I567</f>
        <v>0</v>
      </c>
      <c r="J555" s="376">
        <f t="shared" si="341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2">L557+L558</f>
        <v>0</v>
      </c>
      <c r="M556" s="515">
        <f t="shared" si="342"/>
        <v>0</v>
      </c>
      <c r="N556" s="515">
        <f t="shared" si="342"/>
        <v>0</v>
      </c>
      <c r="O556" s="515">
        <f t="shared" ref="O556:O564" si="343">IF(L556&gt;0,N556*100/L556,0)</f>
        <v>0</v>
      </c>
      <c r="P556" s="515">
        <f t="shared" ref="P556:P564" si="344">IF(M556&gt;0,N556*100/M556,0)</f>
        <v>0</v>
      </c>
      <c r="Q556" s="515">
        <f t="shared" ref="Q556:S556" si="345">Q557+Q558</f>
        <v>0</v>
      </c>
      <c r="R556" s="515">
        <f t="shared" si="345"/>
        <v>0</v>
      </c>
      <c r="S556" s="515">
        <f t="shared" si="345"/>
        <v>0</v>
      </c>
      <c r="T556" s="515">
        <f t="shared" ref="T556:T564" si="346">IF(Q556&gt;0,S556*100/Q556,0)</f>
        <v>0</v>
      </c>
      <c r="U556" s="515">
        <f t="shared" ref="U556:U564" si="347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8">L560+L563</f>
        <v>0</v>
      </c>
      <c r="M557" s="80">
        <f t="shared" si="348"/>
        <v>0</v>
      </c>
      <c r="N557" s="80">
        <f t="shared" si="348"/>
        <v>0</v>
      </c>
      <c r="O557" s="80">
        <f t="shared" si="343"/>
        <v>0</v>
      </c>
      <c r="P557" s="80">
        <f t="shared" si="344"/>
        <v>0</v>
      </c>
      <c r="Q557" s="80">
        <f t="shared" ref="Q557:S558" si="349">Q560+Q563</f>
        <v>0</v>
      </c>
      <c r="R557" s="80">
        <f t="shared" si="349"/>
        <v>0</v>
      </c>
      <c r="S557" s="80">
        <f t="shared" si="349"/>
        <v>0</v>
      </c>
      <c r="T557" s="80">
        <f t="shared" si="346"/>
        <v>0</v>
      </c>
      <c r="U557" s="80">
        <f t="shared" si="347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8"/>
        <v>0</v>
      </c>
      <c r="M558" s="230">
        <f t="shared" si="348"/>
        <v>0</v>
      </c>
      <c r="N558" s="230">
        <f t="shared" si="348"/>
        <v>0</v>
      </c>
      <c r="O558" s="230">
        <f t="shared" si="343"/>
        <v>0</v>
      </c>
      <c r="P558" s="230">
        <f t="shared" si="344"/>
        <v>0</v>
      </c>
      <c r="Q558" s="230">
        <f t="shared" si="349"/>
        <v>0</v>
      </c>
      <c r="R558" s="230">
        <f t="shared" si="349"/>
        <v>0</v>
      </c>
      <c r="S558" s="230">
        <f t="shared" si="349"/>
        <v>0</v>
      </c>
      <c r="T558" s="230">
        <f t="shared" si="346"/>
        <v>0</v>
      </c>
      <c r="U558" s="230">
        <f t="shared" si="347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0">L560+L561</f>
        <v>0</v>
      </c>
      <c r="M559" s="230">
        <f t="shared" si="350"/>
        <v>0</v>
      </c>
      <c r="N559" s="230">
        <f t="shared" si="350"/>
        <v>0</v>
      </c>
      <c r="O559" s="230">
        <f t="shared" si="343"/>
        <v>0</v>
      </c>
      <c r="P559" s="230">
        <f t="shared" si="344"/>
        <v>0</v>
      </c>
      <c r="Q559" s="230">
        <f t="shared" ref="Q559:S559" si="351">Q560+Q561</f>
        <v>0</v>
      </c>
      <c r="R559" s="230">
        <f t="shared" si="351"/>
        <v>0</v>
      </c>
      <c r="S559" s="230">
        <f t="shared" si="351"/>
        <v>0</v>
      </c>
      <c r="T559" s="230">
        <f t="shared" si="346"/>
        <v>0</v>
      </c>
      <c r="U559" s="230">
        <f t="shared" si="347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3"/>
        <v>0</v>
      </c>
      <c r="P560" s="80">
        <f t="shared" si="344"/>
        <v>0</v>
      </c>
      <c r="Q560" s="80">
        <v>0</v>
      </c>
      <c r="R560" s="80">
        <v>0</v>
      </c>
      <c r="S560" s="80">
        <v>0</v>
      </c>
      <c r="T560" s="80">
        <f t="shared" si="346"/>
        <v>0</v>
      </c>
      <c r="U560" s="80">
        <f t="shared" si="347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3"/>
        <v>0</v>
      </c>
      <c r="P561" s="230">
        <f t="shared" si="344"/>
        <v>0</v>
      </c>
      <c r="Q561" s="230">
        <v>0</v>
      </c>
      <c r="R561" s="230">
        <v>0</v>
      </c>
      <c r="S561" s="230">
        <v>0</v>
      </c>
      <c r="T561" s="230">
        <f t="shared" si="346"/>
        <v>0</v>
      </c>
      <c r="U561" s="230">
        <f t="shared" si="347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2">L563+L564</f>
        <v>0</v>
      </c>
      <c r="M562" s="230">
        <f t="shared" si="352"/>
        <v>0</v>
      </c>
      <c r="N562" s="230">
        <f t="shared" si="352"/>
        <v>0</v>
      </c>
      <c r="O562" s="230">
        <f t="shared" si="343"/>
        <v>0</v>
      </c>
      <c r="P562" s="230">
        <f t="shared" si="344"/>
        <v>0</v>
      </c>
      <c r="Q562" s="230">
        <f t="shared" ref="Q562:S562" si="353">Q563+Q564</f>
        <v>0</v>
      </c>
      <c r="R562" s="230">
        <f t="shared" si="353"/>
        <v>0</v>
      </c>
      <c r="S562" s="230">
        <f t="shared" si="353"/>
        <v>0</v>
      </c>
      <c r="T562" s="230">
        <f t="shared" si="346"/>
        <v>0</v>
      </c>
      <c r="U562" s="230">
        <f t="shared" si="347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3"/>
        <v>0</v>
      </c>
      <c r="P563" s="80">
        <f t="shared" si="344"/>
        <v>0</v>
      </c>
      <c r="Q563" s="80">
        <v>0</v>
      </c>
      <c r="R563" s="80">
        <v>0</v>
      </c>
      <c r="S563" s="80">
        <v>0</v>
      </c>
      <c r="T563" s="80">
        <f t="shared" si="346"/>
        <v>0</v>
      </c>
      <c r="U563" s="80">
        <f t="shared" si="347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3"/>
        <v>0</v>
      </c>
      <c r="P564" s="230">
        <f t="shared" si="344"/>
        <v>0</v>
      </c>
      <c r="Q564" s="230">
        <v>0</v>
      </c>
      <c r="R564" s="230">
        <v>0</v>
      </c>
      <c r="S564" s="230">
        <v>0</v>
      </c>
      <c r="T564" s="230">
        <f t="shared" si="346"/>
        <v>0</v>
      </c>
      <c r="U564" s="230">
        <f t="shared" si="347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4">I588</f>
        <v>0</v>
      </c>
      <c r="J576" s="376">
        <f t="shared" si="354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5">L578+L579</f>
        <v>0</v>
      </c>
      <c r="M577" s="515">
        <f t="shared" si="355"/>
        <v>0</v>
      </c>
      <c r="N577" s="515">
        <f t="shared" si="355"/>
        <v>0</v>
      </c>
      <c r="O577" s="515">
        <f t="shared" ref="O577:O585" si="356">IF(L577&gt;0,N577*100/L577,0)</f>
        <v>0</v>
      </c>
      <c r="P577" s="515">
        <f t="shared" ref="P577:P585" si="357">IF(M577&gt;0,N577*100/M577,0)</f>
        <v>0</v>
      </c>
      <c r="Q577" s="515">
        <f t="shared" ref="Q577:S577" si="358">Q578+Q579</f>
        <v>0</v>
      </c>
      <c r="R577" s="515">
        <f t="shared" si="358"/>
        <v>0</v>
      </c>
      <c r="S577" s="515">
        <f t="shared" si="358"/>
        <v>0</v>
      </c>
      <c r="T577" s="515">
        <f t="shared" ref="T577:T585" si="359">IF(Q577&gt;0,S577*100/Q577,0)</f>
        <v>0</v>
      </c>
      <c r="U577" s="515">
        <f t="shared" ref="U577:U585" si="360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1">L581+L584</f>
        <v>0</v>
      </c>
      <c r="M578" s="80">
        <f t="shared" si="361"/>
        <v>0</v>
      </c>
      <c r="N578" s="80">
        <f t="shared" si="361"/>
        <v>0</v>
      </c>
      <c r="O578" s="80">
        <f t="shared" si="356"/>
        <v>0</v>
      </c>
      <c r="P578" s="80">
        <f t="shared" si="357"/>
        <v>0</v>
      </c>
      <c r="Q578" s="80">
        <f t="shared" ref="Q578:S579" si="362">Q581+Q584</f>
        <v>0</v>
      </c>
      <c r="R578" s="80">
        <f t="shared" si="362"/>
        <v>0</v>
      </c>
      <c r="S578" s="80">
        <f t="shared" si="362"/>
        <v>0</v>
      </c>
      <c r="T578" s="80">
        <f t="shared" si="359"/>
        <v>0</v>
      </c>
      <c r="U578" s="80">
        <f t="shared" si="360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1"/>
        <v>0</v>
      </c>
      <c r="M579" s="230">
        <f t="shared" si="361"/>
        <v>0</v>
      </c>
      <c r="N579" s="230">
        <f t="shared" si="361"/>
        <v>0</v>
      </c>
      <c r="O579" s="230">
        <f t="shared" si="356"/>
        <v>0</v>
      </c>
      <c r="P579" s="230">
        <f t="shared" si="357"/>
        <v>0</v>
      </c>
      <c r="Q579" s="230">
        <f t="shared" si="362"/>
        <v>0</v>
      </c>
      <c r="R579" s="230">
        <f t="shared" si="362"/>
        <v>0</v>
      </c>
      <c r="S579" s="230">
        <f t="shared" si="362"/>
        <v>0</v>
      </c>
      <c r="T579" s="230">
        <f t="shared" si="359"/>
        <v>0</v>
      </c>
      <c r="U579" s="230">
        <f t="shared" si="360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3">L581+L582</f>
        <v>0</v>
      </c>
      <c r="M580" s="230">
        <f t="shared" si="363"/>
        <v>0</v>
      </c>
      <c r="N580" s="230">
        <f t="shared" si="363"/>
        <v>0</v>
      </c>
      <c r="O580" s="230">
        <f t="shared" si="356"/>
        <v>0</v>
      </c>
      <c r="P580" s="230">
        <f t="shared" si="357"/>
        <v>0</v>
      </c>
      <c r="Q580" s="230">
        <f t="shared" ref="Q580:S580" si="364">Q581+Q582</f>
        <v>0</v>
      </c>
      <c r="R580" s="230">
        <f t="shared" si="364"/>
        <v>0</v>
      </c>
      <c r="S580" s="230">
        <f t="shared" si="364"/>
        <v>0</v>
      </c>
      <c r="T580" s="230">
        <f t="shared" si="359"/>
        <v>0</v>
      </c>
      <c r="U580" s="230">
        <f t="shared" si="360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6"/>
        <v>0</v>
      </c>
      <c r="P581" s="80">
        <f t="shared" si="357"/>
        <v>0</v>
      </c>
      <c r="Q581" s="80">
        <v>0</v>
      </c>
      <c r="R581" s="80">
        <v>0</v>
      </c>
      <c r="S581" s="80">
        <v>0</v>
      </c>
      <c r="T581" s="80">
        <f t="shared" si="359"/>
        <v>0</v>
      </c>
      <c r="U581" s="80">
        <f t="shared" si="360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6"/>
        <v>0</v>
      </c>
      <c r="P582" s="230">
        <f t="shared" si="357"/>
        <v>0</v>
      </c>
      <c r="Q582" s="230">
        <v>0</v>
      </c>
      <c r="R582" s="230">
        <v>0</v>
      </c>
      <c r="S582" s="230">
        <v>0</v>
      </c>
      <c r="T582" s="230">
        <f t="shared" si="359"/>
        <v>0</v>
      </c>
      <c r="U582" s="230">
        <f t="shared" si="360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5">L584+L585</f>
        <v>0</v>
      </c>
      <c r="M583" s="230">
        <f t="shared" si="365"/>
        <v>0</v>
      </c>
      <c r="N583" s="230">
        <f t="shared" si="365"/>
        <v>0</v>
      </c>
      <c r="O583" s="230">
        <f t="shared" si="356"/>
        <v>0</v>
      </c>
      <c r="P583" s="230">
        <f t="shared" si="357"/>
        <v>0</v>
      </c>
      <c r="Q583" s="230">
        <f t="shared" ref="Q583:S583" si="366">Q584+Q585</f>
        <v>0</v>
      </c>
      <c r="R583" s="230">
        <f t="shared" si="366"/>
        <v>0</v>
      </c>
      <c r="S583" s="230">
        <f t="shared" si="366"/>
        <v>0</v>
      </c>
      <c r="T583" s="230">
        <f t="shared" si="359"/>
        <v>0</v>
      </c>
      <c r="U583" s="230">
        <f t="shared" si="360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6"/>
        <v>0</v>
      </c>
      <c r="P584" s="80">
        <f t="shared" si="357"/>
        <v>0</v>
      </c>
      <c r="Q584" s="80">
        <v>0</v>
      </c>
      <c r="R584" s="80">
        <v>0</v>
      </c>
      <c r="S584" s="80">
        <v>0</v>
      </c>
      <c r="T584" s="80">
        <f t="shared" si="359"/>
        <v>0</v>
      </c>
      <c r="U584" s="80">
        <f t="shared" si="360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6"/>
        <v>0</v>
      </c>
      <c r="P585" s="230">
        <f t="shared" si="357"/>
        <v>0</v>
      </c>
      <c r="Q585" s="230">
        <v>0</v>
      </c>
      <c r="R585" s="230">
        <v>0</v>
      </c>
      <c r="S585" s="230">
        <v>0</v>
      </c>
      <c r="T585" s="230">
        <f t="shared" si="359"/>
        <v>0</v>
      </c>
      <c r="U585" s="230">
        <f t="shared" si="360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7">L601+L602</f>
        <v>0</v>
      </c>
      <c r="M600" s="515">
        <f t="shared" si="367"/>
        <v>0</v>
      </c>
      <c r="N600" s="515">
        <f t="shared" si="367"/>
        <v>0</v>
      </c>
      <c r="O600" s="515">
        <f t="shared" ref="O600:O608" si="368">IF(L600&gt;0,N600*100/L600,0)</f>
        <v>0</v>
      </c>
      <c r="P600" s="515">
        <f t="shared" ref="P600:P608" si="369">IF(M600&gt;0,N600*100/M600,0)</f>
        <v>0</v>
      </c>
      <c r="Q600" s="515">
        <f t="shared" ref="Q600:S600" si="370">Q601+Q602</f>
        <v>0</v>
      </c>
      <c r="R600" s="515">
        <f t="shared" si="370"/>
        <v>0</v>
      </c>
      <c r="S600" s="515">
        <f t="shared" si="370"/>
        <v>0</v>
      </c>
      <c r="T600" s="515">
        <f t="shared" ref="T600:T608" si="371">IF(Q600&gt;0,S600*100/Q600,0)</f>
        <v>0</v>
      </c>
      <c r="U600" s="515">
        <f t="shared" ref="U600:U608" si="372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3">L604+L607</f>
        <v>0</v>
      </c>
      <c r="M601" s="80">
        <f t="shared" si="373"/>
        <v>0</v>
      </c>
      <c r="N601" s="80">
        <f t="shared" si="373"/>
        <v>0</v>
      </c>
      <c r="O601" s="80">
        <f t="shared" si="368"/>
        <v>0</v>
      </c>
      <c r="P601" s="80">
        <f t="shared" si="369"/>
        <v>0</v>
      </c>
      <c r="Q601" s="80">
        <f t="shared" ref="Q601:S602" si="374">Q604+Q607</f>
        <v>0</v>
      </c>
      <c r="R601" s="80">
        <f t="shared" si="374"/>
        <v>0</v>
      </c>
      <c r="S601" s="80">
        <f t="shared" si="374"/>
        <v>0</v>
      </c>
      <c r="T601" s="80">
        <f t="shared" si="371"/>
        <v>0</v>
      </c>
      <c r="U601" s="80">
        <f t="shared" si="372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3"/>
        <v>0</v>
      </c>
      <c r="M602" s="230">
        <f t="shared" si="373"/>
        <v>0</v>
      </c>
      <c r="N602" s="230">
        <f t="shared" si="373"/>
        <v>0</v>
      </c>
      <c r="O602" s="230">
        <f t="shared" si="368"/>
        <v>0</v>
      </c>
      <c r="P602" s="230">
        <f t="shared" si="369"/>
        <v>0</v>
      </c>
      <c r="Q602" s="230">
        <f t="shared" si="374"/>
        <v>0</v>
      </c>
      <c r="R602" s="230">
        <f t="shared" si="374"/>
        <v>0</v>
      </c>
      <c r="S602" s="230">
        <f t="shared" si="374"/>
        <v>0</v>
      </c>
      <c r="T602" s="230">
        <f t="shared" si="371"/>
        <v>0</v>
      </c>
      <c r="U602" s="230">
        <f t="shared" si="372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5">L604+L605</f>
        <v>0</v>
      </c>
      <c r="M603" s="230">
        <f t="shared" si="375"/>
        <v>0</v>
      </c>
      <c r="N603" s="230">
        <f t="shared" si="375"/>
        <v>0</v>
      </c>
      <c r="O603" s="230">
        <f t="shared" si="368"/>
        <v>0</v>
      </c>
      <c r="P603" s="230">
        <f t="shared" si="369"/>
        <v>0</v>
      </c>
      <c r="Q603" s="230">
        <f t="shared" ref="Q603:S603" si="376">Q604+Q605</f>
        <v>0</v>
      </c>
      <c r="R603" s="230">
        <f t="shared" si="376"/>
        <v>0</v>
      </c>
      <c r="S603" s="230">
        <f t="shared" si="376"/>
        <v>0</v>
      </c>
      <c r="T603" s="230">
        <f t="shared" si="371"/>
        <v>0</v>
      </c>
      <c r="U603" s="230">
        <f t="shared" si="372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8"/>
        <v>0</v>
      </c>
      <c r="P604" s="80">
        <f t="shared" si="369"/>
        <v>0</v>
      </c>
      <c r="Q604" s="80">
        <v>0</v>
      </c>
      <c r="R604" s="80">
        <v>0</v>
      </c>
      <c r="S604" s="80">
        <v>0</v>
      </c>
      <c r="T604" s="80">
        <f t="shared" si="371"/>
        <v>0</v>
      </c>
      <c r="U604" s="80">
        <f t="shared" si="372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8"/>
        <v>0</v>
      </c>
      <c r="P605" s="230">
        <f t="shared" si="369"/>
        <v>0</v>
      </c>
      <c r="Q605" s="230">
        <v>0</v>
      </c>
      <c r="R605" s="230">
        <v>0</v>
      </c>
      <c r="S605" s="230">
        <v>0</v>
      </c>
      <c r="T605" s="230">
        <f t="shared" si="371"/>
        <v>0</v>
      </c>
      <c r="U605" s="230">
        <f t="shared" si="372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7">L607+L608</f>
        <v>0</v>
      </c>
      <c r="M606" s="230">
        <f t="shared" si="377"/>
        <v>0</v>
      </c>
      <c r="N606" s="230">
        <f t="shared" si="377"/>
        <v>0</v>
      </c>
      <c r="O606" s="230">
        <f t="shared" si="368"/>
        <v>0</v>
      </c>
      <c r="P606" s="230">
        <f t="shared" si="369"/>
        <v>0</v>
      </c>
      <c r="Q606" s="230">
        <f t="shared" ref="Q606:S606" si="378">Q607+Q608</f>
        <v>0</v>
      </c>
      <c r="R606" s="230">
        <f t="shared" si="378"/>
        <v>0</v>
      </c>
      <c r="S606" s="230">
        <f t="shared" si="378"/>
        <v>0</v>
      </c>
      <c r="T606" s="230">
        <f t="shared" si="371"/>
        <v>0</v>
      </c>
      <c r="U606" s="230">
        <f t="shared" si="372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8"/>
        <v>0</v>
      </c>
      <c r="P607" s="80">
        <f t="shared" si="369"/>
        <v>0</v>
      </c>
      <c r="Q607" s="80">
        <v>0</v>
      </c>
      <c r="R607" s="80">
        <v>0</v>
      </c>
      <c r="S607" s="80">
        <v>0</v>
      </c>
      <c r="T607" s="80">
        <f t="shared" si="371"/>
        <v>0</v>
      </c>
      <c r="U607" s="80">
        <f t="shared" si="372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8"/>
        <v>0</v>
      </c>
      <c r="P608" s="230">
        <f t="shared" si="369"/>
        <v>0</v>
      </c>
      <c r="Q608" s="230">
        <v>0</v>
      </c>
      <c r="R608" s="230">
        <v>0</v>
      </c>
      <c r="S608" s="230">
        <v>0</v>
      </c>
      <c r="T608" s="230">
        <f t="shared" si="371"/>
        <v>0</v>
      </c>
      <c r="U608" s="230">
        <f t="shared" si="372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79">I627</f>
        <v>50</v>
      </c>
      <c r="J616" s="691">
        <f t="shared" si="379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0">L618+L619</f>
        <v>0</v>
      </c>
      <c r="M617" s="515">
        <f t="shared" si="380"/>
        <v>0</v>
      </c>
      <c r="N617" s="515">
        <f t="shared" si="380"/>
        <v>0</v>
      </c>
      <c r="O617" s="515">
        <f t="shared" ref="O617:O625" si="381">IF(L617&gt;0,N617*100/L617,0)</f>
        <v>0</v>
      </c>
      <c r="P617" s="515">
        <f t="shared" ref="P617:P625" si="382">IF(M617&gt;0,N617*100/M617,0)</f>
        <v>0</v>
      </c>
      <c r="Q617" s="515">
        <f t="shared" ref="Q617:S617" ca="1" si="383">Q618+Q619</f>
        <v>6725</v>
      </c>
      <c r="R617" s="515">
        <f t="shared" ca="1" si="383"/>
        <v>6725</v>
      </c>
      <c r="S617" s="515">
        <f t="shared" ca="1" si="383"/>
        <v>0</v>
      </c>
      <c r="T617" s="515">
        <f t="shared" ref="T617:T625" ca="1" si="384">IF(Q617&gt;0,S617*100/Q617,0)</f>
        <v>0</v>
      </c>
      <c r="U617" s="515">
        <f t="shared" ref="U617:U625" ca="1" si="385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6">L621+L624</f>
        <v>0</v>
      </c>
      <c r="M618" s="80">
        <f t="shared" si="386"/>
        <v>0</v>
      </c>
      <c r="N618" s="80">
        <f t="shared" si="386"/>
        <v>0</v>
      </c>
      <c r="O618" s="80">
        <f t="shared" si="381"/>
        <v>0</v>
      </c>
      <c r="P618" s="80">
        <f t="shared" si="382"/>
        <v>0</v>
      </c>
      <c r="Q618" s="80">
        <f t="shared" ref="Q618:S619" si="387">Q621+Q624</f>
        <v>0</v>
      </c>
      <c r="R618" s="80">
        <f t="shared" si="387"/>
        <v>0</v>
      </c>
      <c r="S618" s="80">
        <f t="shared" si="387"/>
        <v>0</v>
      </c>
      <c r="T618" s="80">
        <f t="shared" si="384"/>
        <v>0</v>
      </c>
      <c r="U618" s="80">
        <f t="shared" si="385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6"/>
        <v>0</v>
      </c>
      <c r="M619" s="230">
        <f t="shared" si="386"/>
        <v>0</v>
      </c>
      <c r="N619" s="230">
        <f t="shared" si="386"/>
        <v>0</v>
      </c>
      <c r="O619" s="230">
        <f t="shared" si="381"/>
        <v>0</v>
      </c>
      <c r="P619" s="230">
        <f t="shared" si="382"/>
        <v>0</v>
      </c>
      <c r="Q619" s="230">
        <f t="shared" ca="1" si="387"/>
        <v>6725</v>
      </c>
      <c r="R619" s="230">
        <f t="shared" ca="1" si="387"/>
        <v>6725</v>
      </c>
      <c r="S619" s="230">
        <f t="shared" ca="1" si="387"/>
        <v>0</v>
      </c>
      <c r="T619" s="230">
        <f t="shared" ca="1" si="384"/>
        <v>0</v>
      </c>
      <c r="U619" s="230">
        <f t="shared" ca="1" si="385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8">L621+L622</f>
        <v>0</v>
      </c>
      <c r="M620" s="230">
        <f t="shared" si="388"/>
        <v>0</v>
      </c>
      <c r="N620" s="230">
        <f t="shared" si="388"/>
        <v>0</v>
      </c>
      <c r="O620" s="230">
        <f t="shared" si="381"/>
        <v>0</v>
      </c>
      <c r="P620" s="230">
        <f t="shared" si="382"/>
        <v>0</v>
      </c>
      <c r="Q620" s="230">
        <f t="shared" ref="Q620:S620" ca="1" si="389">Q621+Q622</f>
        <v>6725</v>
      </c>
      <c r="R620" s="230">
        <f t="shared" ca="1" si="389"/>
        <v>6725</v>
      </c>
      <c r="S620" s="230">
        <f t="shared" ca="1" si="389"/>
        <v>0</v>
      </c>
      <c r="T620" s="230">
        <f t="shared" ca="1" si="384"/>
        <v>0</v>
      </c>
      <c r="U620" s="230">
        <f t="shared" ca="1" si="385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1"/>
        <v>0</v>
      </c>
      <c r="P621" s="80">
        <f t="shared" si="382"/>
        <v>0</v>
      </c>
      <c r="Q621" s="80">
        <v>0</v>
      </c>
      <c r="R621" s="80">
        <v>0</v>
      </c>
      <c r="S621" s="80">
        <v>0</v>
      </c>
      <c r="T621" s="80">
        <f t="shared" si="384"/>
        <v>0</v>
      </c>
      <c r="U621" s="80">
        <f t="shared" si="385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1"/>
        <v>0</v>
      </c>
      <c r="P622" s="230">
        <f t="shared" si="382"/>
        <v>0</v>
      </c>
      <c r="Q622" s="230">
        <f ca="1">IFERROR(__xludf.DUMMYFUNCTION("IMPORTRANGE(""https://docs.google.com/spreadsheets/d/1ItG2mGa2ceCfYo0BwxsXqNm01IGEUdYcSSLTEv9YCik/edit?usp=sharing"",""เบิกจ่ายกองทุน!F20"")"),6725)</f>
        <v>6725</v>
      </c>
      <c r="R622" s="230">
        <f ca="1">IFERROR(__xludf.DUMMYFUNCTION("IMPORTRANGE(""https://docs.google.com/spreadsheets/d/1ItG2mGa2ceCfYo0BwxsXqNm01IGEUdYcSSLTEv9YCik/edit?usp=sharing"",""เบิกจ่ายกองทุน!G20"")"),6725)</f>
        <v>6725</v>
      </c>
      <c r="S622" s="230">
        <f ca="1">IFERROR(__xludf.DUMMYFUNCTION("IMPORTRANGE(""https://docs.google.com/spreadsheets/d/1ItG2mGa2ceCfYo0BwxsXqNm01IGEUdYcSSLTEv9YCik/edit?usp=sharing"",""เบิกจ่ายกองทุน!H20"")"),0)</f>
        <v>0</v>
      </c>
      <c r="T622" s="230">
        <f t="shared" ca="1" si="384"/>
        <v>0</v>
      </c>
      <c r="U622" s="230">
        <f t="shared" ca="1" si="385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0">L624+L625</f>
        <v>0</v>
      </c>
      <c r="M623" s="230">
        <f t="shared" si="390"/>
        <v>0</v>
      </c>
      <c r="N623" s="230">
        <f t="shared" si="390"/>
        <v>0</v>
      </c>
      <c r="O623" s="230">
        <f t="shared" si="381"/>
        <v>0</v>
      </c>
      <c r="P623" s="230">
        <f t="shared" si="382"/>
        <v>0</v>
      </c>
      <c r="Q623" s="230">
        <f t="shared" ref="Q623:S623" si="391">Q624+Q625</f>
        <v>0</v>
      </c>
      <c r="R623" s="230">
        <f t="shared" si="391"/>
        <v>0</v>
      </c>
      <c r="S623" s="230">
        <f t="shared" si="391"/>
        <v>0</v>
      </c>
      <c r="T623" s="230">
        <f t="shared" si="384"/>
        <v>0</v>
      </c>
      <c r="U623" s="230">
        <f t="shared" si="385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1"/>
        <v>0</v>
      </c>
      <c r="P624" s="80">
        <f t="shared" si="382"/>
        <v>0</v>
      </c>
      <c r="Q624" s="80">
        <v>0</v>
      </c>
      <c r="R624" s="80">
        <v>0</v>
      </c>
      <c r="S624" s="80">
        <v>0</v>
      </c>
      <c r="T624" s="80">
        <f t="shared" si="384"/>
        <v>0</v>
      </c>
      <c r="U624" s="80">
        <f t="shared" si="385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1"/>
        <v>0</v>
      </c>
      <c r="P625" s="230">
        <f t="shared" si="382"/>
        <v>0</v>
      </c>
      <c r="Q625" s="230">
        <v>0</v>
      </c>
      <c r="R625" s="230">
        <v>0</v>
      </c>
      <c r="S625" s="230">
        <v>0</v>
      </c>
      <c r="T625" s="230">
        <f t="shared" si="384"/>
        <v>0</v>
      </c>
      <c r="U625" s="230">
        <f t="shared" si="385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IFERROR(__xludf.DUMMYFUNCTION("IMPORTRANGE(""https://docs.google.com/spreadsheets/d/1eHaY18a8A9IcSdp1K8H6x8fbOy06t2VsZHhMHf-1x7Y/edit?usp=sharing"",""แผน!ID20"")"),50)</f>
        <v>50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IFERROR(__xludf.DUMMYFUNCTION("IMPORTRANGE(""https://docs.google.com/spreadsheets/d/1eHaY18a8A9IcSdp1K8H6x8fbOy06t2VsZHhMHf-1x7Y/edit?usp=sharing"",""แผน!IC20"")"),0)</f>
        <v>0</v>
      </c>
      <c r="J628" s="520">
        <v>0</v>
      </c>
      <c r="K628" s="230">
        <f t="shared" ref="K628:K629" ca="1" si="392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IFERROR(__xludf.DUMMYFUNCTION("IMPORTRANGE(""https://docs.google.com/spreadsheets/d/1eHaY18a8A9IcSdp1K8H6x8fbOy06t2VsZHhMHf-1x7Y/edit?usp=sharing"",""แผน!IC20"")"),0)</f>
        <v>0</v>
      </c>
      <c r="J629" s="520">
        <v>0</v>
      </c>
      <c r="K629" s="230">
        <f t="shared" ca="1" si="392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3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3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3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IFERROR(__xludf.DUMMYFUNCTION("IMPORTRANGE(""https://docs.google.com/spreadsheets/d/1eHaY18a8A9IcSdp1K8H6x8fbOy06t2VsZHhMHf-1x7Y/edit?usp=sharing"",""แผน!IE20"")"),0)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4">L644+L645</f>
        <v>0</v>
      </c>
      <c r="M643" s="515">
        <f t="shared" si="394"/>
        <v>0</v>
      </c>
      <c r="N643" s="515">
        <f t="shared" si="394"/>
        <v>0</v>
      </c>
      <c r="O643" s="515">
        <f t="shared" ref="O643:O651" si="395">IF(L643&gt;0,N643*100/L643,0)</f>
        <v>0</v>
      </c>
      <c r="P643" s="515">
        <f t="shared" ref="P643:P651" si="396">IF(M643&gt;0,N643*100/M643,0)</f>
        <v>0</v>
      </c>
      <c r="Q643" s="515">
        <f t="shared" ref="Q643:S643" ca="1" si="397">Q644+Q645</f>
        <v>5900</v>
      </c>
      <c r="R643" s="515">
        <f t="shared" ca="1" si="397"/>
        <v>5900</v>
      </c>
      <c r="S643" s="515">
        <f t="shared" ca="1" si="397"/>
        <v>0</v>
      </c>
      <c r="T643" s="515">
        <f t="shared" ref="T643:T651" ca="1" si="398">IF(Q643&gt;0,S643*100/Q643,0)</f>
        <v>0</v>
      </c>
      <c r="U643" s="515">
        <f t="shared" ref="U643:U651" ca="1" si="399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0">L647+L650</f>
        <v>0</v>
      </c>
      <c r="M644" s="80">
        <f t="shared" si="400"/>
        <v>0</v>
      </c>
      <c r="N644" s="80">
        <f t="shared" si="400"/>
        <v>0</v>
      </c>
      <c r="O644" s="80">
        <f t="shared" si="395"/>
        <v>0</v>
      </c>
      <c r="P644" s="80">
        <f t="shared" si="396"/>
        <v>0</v>
      </c>
      <c r="Q644" s="80">
        <f t="shared" ref="Q644:S645" si="401">Q647+Q650</f>
        <v>0</v>
      </c>
      <c r="R644" s="80">
        <f t="shared" si="401"/>
        <v>0</v>
      </c>
      <c r="S644" s="80">
        <f t="shared" si="401"/>
        <v>0</v>
      </c>
      <c r="T644" s="80">
        <f t="shared" si="398"/>
        <v>0</v>
      </c>
      <c r="U644" s="80">
        <f t="shared" si="399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0"/>
        <v>0</v>
      </c>
      <c r="M645" s="230">
        <f t="shared" si="400"/>
        <v>0</v>
      </c>
      <c r="N645" s="230">
        <f t="shared" si="400"/>
        <v>0</v>
      </c>
      <c r="O645" s="230">
        <f t="shared" si="395"/>
        <v>0</v>
      </c>
      <c r="P645" s="230">
        <f t="shared" si="396"/>
        <v>0</v>
      </c>
      <c r="Q645" s="230">
        <f t="shared" ca="1" si="401"/>
        <v>5900</v>
      </c>
      <c r="R645" s="230">
        <f t="shared" ca="1" si="401"/>
        <v>5900</v>
      </c>
      <c r="S645" s="230">
        <f t="shared" ca="1" si="401"/>
        <v>0</v>
      </c>
      <c r="T645" s="230">
        <f t="shared" ca="1" si="398"/>
        <v>0</v>
      </c>
      <c r="U645" s="230">
        <f t="shared" ca="1" si="399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2">L647+L648</f>
        <v>0</v>
      </c>
      <c r="M646" s="230">
        <f t="shared" si="402"/>
        <v>0</v>
      </c>
      <c r="N646" s="230">
        <f t="shared" si="402"/>
        <v>0</v>
      </c>
      <c r="O646" s="230">
        <f t="shared" si="395"/>
        <v>0</v>
      </c>
      <c r="P646" s="230">
        <f t="shared" si="396"/>
        <v>0</v>
      </c>
      <c r="Q646" s="230">
        <f t="shared" ref="Q646:S646" ca="1" si="403">Q647+Q648</f>
        <v>5900</v>
      </c>
      <c r="R646" s="230">
        <f t="shared" ca="1" si="403"/>
        <v>5900</v>
      </c>
      <c r="S646" s="230">
        <f t="shared" ca="1" si="403"/>
        <v>0</v>
      </c>
      <c r="T646" s="230">
        <f t="shared" ca="1" si="398"/>
        <v>0</v>
      </c>
      <c r="U646" s="230">
        <f t="shared" ca="1" si="399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5"/>
        <v>0</v>
      </c>
      <c r="P647" s="80">
        <f t="shared" si="396"/>
        <v>0</v>
      </c>
      <c r="Q647" s="80">
        <v>0</v>
      </c>
      <c r="R647" s="80">
        <v>0</v>
      </c>
      <c r="S647" s="80">
        <v>0</v>
      </c>
      <c r="T647" s="80">
        <f t="shared" si="398"/>
        <v>0</v>
      </c>
      <c r="U647" s="80">
        <f t="shared" si="399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5"/>
        <v>0</v>
      </c>
      <c r="P648" s="230">
        <f t="shared" si="396"/>
        <v>0</v>
      </c>
      <c r="Q648" s="230">
        <f ca="1">IFERROR(__xludf.DUMMYFUNCTION("IMPORTRANGE(""https://docs.google.com/spreadsheets/d/1ItG2mGa2ceCfYo0BwxsXqNm01IGEUdYcSSLTEv9YCik/edit?usp=sharing"",""เบิกจ่ายกองทุน!I20"")"),5900)</f>
        <v>5900</v>
      </c>
      <c r="R648" s="230">
        <f ca="1">IFERROR(__xludf.DUMMYFUNCTION("IMPORTRANGE(""https://docs.google.com/spreadsheets/d/1ItG2mGa2ceCfYo0BwxsXqNm01IGEUdYcSSLTEv9YCik/edit?usp=sharing"",""เบิกจ่ายกองทุน!J20"")"),5900)</f>
        <v>5900</v>
      </c>
      <c r="S648" s="230">
        <f ca="1">IFERROR(__xludf.DUMMYFUNCTION("IMPORTRANGE(""https://docs.google.com/spreadsheets/d/1ItG2mGa2ceCfYo0BwxsXqNm01IGEUdYcSSLTEv9YCik/edit?usp=sharing"",""เบิกจ่ายกองทุน!K20"")"),0)</f>
        <v>0</v>
      </c>
      <c r="T648" s="230">
        <f t="shared" ca="1" si="398"/>
        <v>0</v>
      </c>
      <c r="U648" s="230">
        <f t="shared" ca="1" si="399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4">L650+L651</f>
        <v>0</v>
      </c>
      <c r="M649" s="230">
        <f t="shared" si="404"/>
        <v>0</v>
      </c>
      <c r="N649" s="230">
        <f t="shared" si="404"/>
        <v>0</v>
      </c>
      <c r="O649" s="230">
        <f t="shared" si="395"/>
        <v>0</v>
      </c>
      <c r="P649" s="230">
        <f t="shared" si="396"/>
        <v>0</v>
      </c>
      <c r="Q649" s="230">
        <f t="shared" ref="Q649:S649" si="405">Q650+Q651</f>
        <v>0</v>
      </c>
      <c r="R649" s="230">
        <f t="shared" si="405"/>
        <v>0</v>
      </c>
      <c r="S649" s="230">
        <f t="shared" si="405"/>
        <v>0</v>
      </c>
      <c r="T649" s="230">
        <f t="shared" si="398"/>
        <v>0</v>
      </c>
      <c r="U649" s="230">
        <f t="shared" si="399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5"/>
        <v>0</v>
      </c>
      <c r="P650" s="80">
        <f t="shared" si="396"/>
        <v>0</v>
      </c>
      <c r="Q650" s="80">
        <v>0</v>
      </c>
      <c r="R650" s="80">
        <v>0</v>
      </c>
      <c r="S650" s="80">
        <v>0</v>
      </c>
      <c r="T650" s="80">
        <f t="shared" si="398"/>
        <v>0</v>
      </c>
      <c r="U650" s="80">
        <f t="shared" si="399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5"/>
        <v>0</v>
      </c>
      <c r="P651" s="230">
        <f t="shared" si="396"/>
        <v>0</v>
      </c>
      <c r="Q651" s="230">
        <v>0</v>
      </c>
      <c r="R651" s="230">
        <v>0</v>
      </c>
      <c r="S651" s="230">
        <v>0</v>
      </c>
      <c r="T651" s="230">
        <f t="shared" si="398"/>
        <v>0</v>
      </c>
      <c r="U651" s="230">
        <f t="shared" si="399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IFERROR(__xludf.DUMMYFUNCTION("IMPORTRANGE(""https://docs.google.com/spreadsheets/d/1eHaY18a8A9IcSdp1K8H6x8fbOy06t2VsZHhMHf-1x7Y/edit?usp=sharing"",""แผน!IF20"")"),0)</f>
        <v>0</v>
      </c>
      <c r="J653" s="189">
        <f ca="1">IFERROR(__xludf.DUMMYFUNCTION("IMPORTRANGE(""https://docs.google.com/spreadsheets/d/1tdoBKaGub7dwA3U6UFTqxio9LNnvDCQjHKmttSEBsFQ/edit?usp=sharing"",""จัดที่ดิน!AU20"")"),0)</f>
        <v>0</v>
      </c>
      <c r="K653" s="230">
        <f t="shared" ref="K653:K655" ca="1" si="406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IFERROR(__xludf.DUMMYFUNCTION("IMPORTRANGE(""https://docs.google.com/spreadsheets/d/1eHaY18a8A9IcSdp1K8H6x8fbOy06t2VsZHhMHf-1x7Y/edit?usp=sharing"",""แผน!IG20"")"),20)</f>
        <v>20</v>
      </c>
      <c r="J654" s="189">
        <f ca="1">IFERROR(__xludf.DUMMYFUNCTION("IMPORTRANGE(""https://docs.google.com/spreadsheets/d/1tdoBKaGub7dwA3U6UFTqxio9LNnvDCQjHKmttSEBsFQ/edit?usp=sharing"",""จัดที่ดิน!AW20"")"),0)</f>
        <v>0</v>
      </c>
      <c r="K654" s="230">
        <f t="shared" ca="1" si="406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IFERROR(__xludf.DUMMYFUNCTION("IMPORTRANGE(""https://docs.google.com/spreadsheets/d/1eHaY18a8A9IcSdp1K8H6x8fbOy06t2VsZHhMHf-1x7Y/edit?usp=sharing"",""แผน!IH20"")"),125)</f>
        <v>125</v>
      </c>
      <c r="J655" s="340">
        <f>J658+J661</f>
        <v>0</v>
      </c>
      <c r="K655" s="515">
        <f t="shared" ca="1" si="406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IFERROR(__xludf.DUMMYFUNCTION("IMPORTRANGE(""https://docs.google.com/spreadsheets/d/1eHaY18a8A9IcSdp1K8H6x8fbOy06t2VsZHhMHf-1x7Y/edit?usp=sharing"",""แผน!II20"")"),125)</f>
        <v>125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IFERROR(__xludf.DUMMYFUNCTION("IMPORTRANGE(""https://docs.google.com/spreadsheets/d/1eHaY18a8A9IcSdp1K8H6x8fbOy06t2VsZHhMHf-1x7Y/edit?usp=sharing"",""แผน!IJ20"")"),0)</f>
        <v>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hidden="1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IFERROR(__xludf.DUMMYFUNCTION("IMPORTRANGE(""https://docs.google.com/spreadsheets/d/1eHaY18a8A9IcSdp1K8H6x8fbOy06t2VsZHhMHf-1x7Y/edit?usp=sharing"",""แผน!IK20"")"),0)</f>
        <v>0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hidden="1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hidden="1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hidden="1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hidden="1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hidden="1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hidden="1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hidden="1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hidden="1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hidden="1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hidden="1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IFERROR(__xludf.DUMMYFUNCTION("IMPORTRANGE(""https://docs.google.com/spreadsheets/d/1tdoBKaGub7dwA3U6UFTqxio9LNnvDCQjHKmttSEBsFQ/edit?usp=sharing"",""จัดที่ดิน!AY20"")"),0)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hidden="1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IFERROR(__xludf.DUMMYFUNCTION("IMPORTRANGE(""https://docs.google.com/spreadsheets/d/1tdoBKaGub7dwA3U6UFTqxio9LNnvDCQjHKmttSEBsFQ/edit?usp=sharing"",""จัดที่ดิน!AZ20"")"),0)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hidden="1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IFERROR(__xludf.DUMMYFUNCTION("IMPORTRANGE(""https://docs.google.com/spreadsheets/d/1eHaY18a8A9IcSdp1K8H6x8fbOy06t2VsZHhMHf-1x7Y/edit?usp=sharing"",""แผน!IL20"")"),0)</f>
        <v>0</v>
      </c>
      <c r="J674" s="189">
        <f ca="1">IFERROR(__xludf.DUMMYFUNCTION("IMPORTRANGE(""https://docs.google.com/spreadsheets/d/1tdoBKaGub7dwA3U6UFTqxio9LNnvDCQjHKmttSEBsFQ/edit?usp=sharing"",""จัดที่ดิน!BA20"")"),0)</f>
        <v>0</v>
      </c>
      <c r="K674" s="230">
        <f t="shared" ref="K674:K677" ca="1" si="407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hidden="1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IFERROR(__xludf.DUMMYFUNCTION("IMPORTRANGE(""https://docs.google.com/spreadsheets/d/1eHaY18a8A9IcSdp1K8H6x8fbOy06t2VsZHhMHf-1x7Y/edit?usp=sharing"",""แผน!IM20"")"),0)</f>
        <v>0</v>
      </c>
      <c r="J675" s="340">
        <f ca="1">J677+J680</f>
        <v>0</v>
      </c>
      <c r="K675" s="515">
        <f t="shared" ca="1" si="407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hidden="1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IFERROR(__xludf.DUMMYFUNCTION("IMPORTRANGE(""https://docs.google.com/spreadsheets/d/1eHaY18a8A9IcSdp1K8H6x8fbOy06t2VsZHhMHf-1x7Y/edit?usp=sharing"",""แผน!IN20"")"),0)</f>
        <v>0</v>
      </c>
      <c r="J676" s="340">
        <f ca="1">J679+J682</f>
        <v>0</v>
      </c>
      <c r="K676" s="515">
        <f t="shared" ca="1" si="407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hidden="1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IFERROR(__xludf.DUMMYFUNCTION("IMPORTRANGE(""https://docs.google.com/spreadsheets/d/1eHaY18a8A9IcSdp1K8H6x8fbOy06t2VsZHhMHf-1x7Y/edit?usp=sharing"",""แผน!IO20"")"),0)</f>
        <v>0</v>
      </c>
      <c r="J677" s="189">
        <f ca="1">IFERROR(__xludf.DUMMYFUNCTION("IMPORTRANGE(""https://docs.google.com/spreadsheets/d/1tdoBKaGub7dwA3U6UFTqxio9LNnvDCQjHKmttSEBsFQ/edit?usp=sharing"",""จัดที่ดิน!BF20"")"),0)</f>
        <v>0</v>
      </c>
      <c r="K677" s="230">
        <f t="shared" ca="1" si="407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hidden="1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IFERROR(__xludf.DUMMYFUNCTION("IMPORTRANGE(""https://docs.google.com/spreadsheets/d/1tdoBKaGub7dwA3U6UFTqxio9LNnvDCQjHKmttSEBsFQ/edit?usp=sharing"",""จัดที่ดิน!BG20"")"),0)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hidden="1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IFERROR(__xludf.DUMMYFUNCTION("IMPORTRANGE(""https://docs.google.com/spreadsheets/d/1eHaY18a8A9IcSdp1K8H6x8fbOy06t2VsZHhMHf-1x7Y/edit?usp=sharing"",""แผน!IP20"")"),0)</f>
        <v>0</v>
      </c>
      <c r="J679" s="189">
        <f ca="1">IFERROR(__xludf.DUMMYFUNCTION("IMPORTRANGE(""https://docs.google.com/spreadsheets/d/1tdoBKaGub7dwA3U6UFTqxio9LNnvDCQjHKmttSEBsFQ/edit?usp=sharing"",""จัดที่ดิน!BH20"")"),0)</f>
        <v>0</v>
      </c>
      <c r="K679" s="230">
        <f t="shared" ref="K679:K680" ca="1" si="408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hidden="1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IFERROR(__xludf.DUMMYFUNCTION("IMPORTRANGE(""https://docs.google.com/spreadsheets/d/1eHaY18a8A9IcSdp1K8H6x8fbOy06t2VsZHhMHf-1x7Y/edit?usp=sharing"",""แผน!IQ20"")"),0)</f>
        <v>0</v>
      </c>
      <c r="J680" s="189">
        <f ca="1">IFERROR(__xludf.DUMMYFUNCTION("IMPORTRANGE(""https://docs.google.com/spreadsheets/d/1tdoBKaGub7dwA3U6UFTqxio9LNnvDCQjHKmttSEBsFQ/edit?usp=sharing"",""จัดที่ดิน!BK20"")"),0)</f>
        <v>0</v>
      </c>
      <c r="K680" s="230">
        <f t="shared" ca="1" si="408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hidden="1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IFERROR(__xludf.DUMMYFUNCTION("IMPORTRANGE(""https://docs.google.com/spreadsheets/d/1tdoBKaGub7dwA3U6UFTqxio9LNnvDCQjHKmttSEBsFQ/edit?usp=sharing"",""จัดที่ดิน!BL20"")"),0)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hidden="1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IFERROR(__xludf.DUMMYFUNCTION("IMPORTRANGE(""https://docs.google.com/spreadsheets/d/1eHaY18a8A9IcSdp1K8H6x8fbOy06t2VsZHhMHf-1x7Y/edit?usp=sharing"",""แผน!IR20"")"),0)</f>
        <v>0</v>
      </c>
      <c r="J682" s="189">
        <f ca="1">IFERROR(__xludf.DUMMYFUNCTION("IMPORTRANGE(""https://docs.google.com/spreadsheets/d/1tdoBKaGub7dwA3U6UFTqxio9LNnvDCQjHKmttSEBsFQ/edit?usp=sharing"",""จัดที่ดิน!BM20"")"),0)</f>
        <v>0</v>
      </c>
      <c r="K682" s="230">
        <f t="shared" ref="K682:K683" ca="1" si="409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IFERROR(__xludf.DUMMYFUNCTION("IMPORTRANGE(""https://docs.google.com/spreadsheets/d/1eHaY18a8A9IcSdp1K8H6x8fbOy06t2VsZHhMHf-1x7Y/edit?usp=sharing"",""แผน!IS20"")"),0)</f>
        <v>0</v>
      </c>
      <c r="J683" s="340">
        <f>J686+J689</f>
        <v>0</v>
      </c>
      <c r="K683" s="515">
        <f t="shared" ca="1" si="409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0">I708</f>
        <v>70</v>
      </c>
      <c r="J690" s="700">
        <f t="shared" ca="1" si="410"/>
        <v>49</v>
      </c>
      <c r="K690" s="701">
        <f ca="1">IF(I690&gt;0,J690*100/I690,0)</f>
        <v>70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1">L692+L693</f>
        <v>0</v>
      </c>
      <c r="M691" s="515">
        <f t="shared" si="411"/>
        <v>0</v>
      </c>
      <c r="N691" s="515">
        <f t="shared" si="411"/>
        <v>0</v>
      </c>
      <c r="O691" s="515">
        <f t="shared" ref="O691:O699" si="412">IF(L691&gt;0,N691*100/L691,0)</f>
        <v>0</v>
      </c>
      <c r="P691" s="515">
        <f t="shared" ref="P691:P699" si="413">IF(M691&gt;0,N691*100/M691,0)</f>
        <v>0</v>
      </c>
      <c r="Q691" s="515">
        <f t="shared" ref="Q691:S691" ca="1" si="414">Q692+Q693</f>
        <v>237780</v>
      </c>
      <c r="R691" s="515">
        <f t="shared" ca="1" si="414"/>
        <v>237780</v>
      </c>
      <c r="S691" s="515">
        <f t="shared" ca="1" si="414"/>
        <v>0</v>
      </c>
      <c r="T691" s="515">
        <f t="shared" ref="T691:T699" ca="1" si="415">IF(Q691&gt;0,S691*100/Q691,0)</f>
        <v>0</v>
      </c>
      <c r="U691" s="515">
        <f t="shared" ref="U691:U699" ca="1" si="416">IF(R691&gt;0,S691*100/R691,0)</f>
        <v>0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7">L695+L698</f>
        <v>0</v>
      </c>
      <c r="M692" s="80">
        <f t="shared" si="417"/>
        <v>0</v>
      </c>
      <c r="N692" s="80">
        <f t="shared" si="417"/>
        <v>0</v>
      </c>
      <c r="O692" s="80">
        <f t="shared" si="412"/>
        <v>0</v>
      </c>
      <c r="P692" s="80">
        <f t="shared" si="413"/>
        <v>0</v>
      </c>
      <c r="Q692" s="80">
        <f t="shared" ref="Q692:S693" si="418">Q695+Q698</f>
        <v>0</v>
      </c>
      <c r="R692" s="80">
        <f t="shared" si="418"/>
        <v>0</v>
      </c>
      <c r="S692" s="80">
        <f t="shared" si="418"/>
        <v>0</v>
      </c>
      <c r="T692" s="80">
        <f t="shared" si="415"/>
        <v>0</v>
      </c>
      <c r="U692" s="80">
        <f t="shared" si="416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7"/>
        <v>0</v>
      </c>
      <c r="M693" s="230">
        <f t="shared" si="417"/>
        <v>0</v>
      </c>
      <c r="N693" s="230">
        <f t="shared" si="417"/>
        <v>0</v>
      </c>
      <c r="O693" s="230">
        <f t="shared" si="412"/>
        <v>0</v>
      </c>
      <c r="P693" s="230">
        <f t="shared" si="413"/>
        <v>0</v>
      </c>
      <c r="Q693" s="230">
        <f t="shared" ca="1" si="418"/>
        <v>237780</v>
      </c>
      <c r="R693" s="230">
        <f t="shared" ca="1" si="418"/>
        <v>237780</v>
      </c>
      <c r="S693" s="230">
        <f t="shared" ca="1" si="418"/>
        <v>0</v>
      </c>
      <c r="T693" s="230">
        <f t="shared" ca="1" si="415"/>
        <v>0</v>
      </c>
      <c r="U693" s="230">
        <f t="shared" ca="1" si="416"/>
        <v>0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19">L695+L696</f>
        <v>0</v>
      </c>
      <c r="M694" s="230">
        <f t="shared" si="419"/>
        <v>0</v>
      </c>
      <c r="N694" s="230">
        <f t="shared" si="419"/>
        <v>0</v>
      </c>
      <c r="O694" s="230">
        <f t="shared" si="412"/>
        <v>0</v>
      </c>
      <c r="P694" s="230">
        <f t="shared" si="413"/>
        <v>0</v>
      </c>
      <c r="Q694" s="230">
        <f t="shared" ref="Q694:S694" ca="1" si="420">Q695+Q696</f>
        <v>237780</v>
      </c>
      <c r="R694" s="230">
        <f t="shared" ca="1" si="420"/>
        <v>237780</v>
      </c>
      <c r="S694" s="230">
        <f t="shared" ca="1" si="420"/>
        <v>0</v>
      </c>
      <c r="T694" s="230">
        <f t="shared" ca="1" si="415"/>
        <v>0</v>
      </c>
      <c r="U694" s="230">
        <f t="shared" ca="1" si="416"/>
        <v>0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2"/>
        <v>0</v>
      </c>
      <c r="P695" s="80">
        <f t="shared" si="413"/>
        <v>0</v>
      </c>
      <c r="Q695" s="80">
        <v>0</v>
      </c>
      <c r="R695" s="80">
        <v>0</v>
      </c>
      <c r="S695" s="80">
        <v>0</v>
      </c>
      <c r="T695" s="80">
        <f t="shared" si="415"/>
        <v>0</v>
      </c>
      <c r="U695" s="80">
        <f t="shared" si="416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2"/>
        <v>0</v>
      </c>
      <c r="P696" s="230">
        <f t="shared" si="413"/>
        <v>0</v>
      </c>
      <c r="Q696" s="230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6" s="230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6" s="230">
        <f ca="1">IFERROR(__xludf.DUMMYFUNCTION("IMPORTRANGE(""https://docs.google.com/spreadsheets/d/1ItG2mGa2ceCfYo0BwxsXqNm01IGEUdYcSSLTEv9YCik/edit?usp=sharing"",""เบิกจ่ายกองทุน!N20"")"),0)</f>
        <v>0</v>
      </c>
      <c r="T696" s="230">
        <f t="shared" ca="1" si="415"/>
        <v>0</v>
      </c>
      <c r="U696" s="230">
        <f t="shared" ca="1" si="416"/>
        <v>0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1">L698+L699</f>
        <v>0</v>
      </c>
      <c r="M697" s="230">
        <f t="shared" si="421"/>
        <v>0</v>
      </c>
      <c r="N697" s="230">
        <f t="shared" si="421"/>
        <v>0</v>
      </c>
      <c r="O697" s="230">
        <f t="shared" si="412"/>
        <v>0</v>
      </c>
      <c r="P697" s="230">
        <f t="shared" si="413"/>
        <v>0</v>
      </c>
      <c r="Q697" s="230">
        <f t="shared" ref="Q697:S697" si="422">Q698+Q699</f>
        <v>0</v>
      </c>
      <c r="R697" s="230">
        <f t="shared" si="422"/>
        <v>0</v>
      </c>
      <c r="S697" s="230">
        <f t="shared" si="422"/>
        <v>0</v>
      </c>
      <c r="T697" s="230">
        <f t="shared" si="415"/>
        <v>0</v>
      </c>
      <c r="U697" s="230">
        <f t="shared" si="416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2"/>
        <v>0</v>
      </c>
      <c r="P698" s="80">
        <f t="shared" si="413"/>
        <v>0</v>
      </c>
      <c r="Q698" s="80">
        <v>0</v>
      </c>
      <c r="R698" s="80">
        <v>0</v>
      </c>
      <c r="S698" s="80">
        <v>0</v>
      </c>
      <c r="T698" s="80">
        <f t="shared" si="415"/>
        <v>0</v>
      </c>
      <c r="U698" s="80">
        <f t="shared" si="416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2"/>
        <v>0</v>
      </c>
      <c r="P699" s="230">
        <f t="shared" si="413"/>
        <v>0</v>
      </c>
      <c r="Q699" s="230">
        <v>0</v>
      </c>
      <c r="R699" s="230">
        <v>0</v>
      </c>
      <c r="S699" s="230">
        <v>0</v>
      </c>
      <c r="T699" s="230">
        <f t="shared" si="415"/>
        <v>0</v>
      </c>
      <c r="U699" s="230">
        <f t="shared" si="416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IFERROR(__xludf.DUMMYFUNCTION("IMPORTRANGE(""https://docs.google.com/spreadsheets/d/1eHaY18a8A9IcSdp1K8H6x8fbOy06t2VsZHhMHf-1x7Y/edit?usp=sharing"",""แผน!LC20"")"),3)</f>
        <v>3</v>
      </c>
      <c r="J701" s="520">
        <v>0</v>
      </c>
      <c r="K701" s="521">
        <f t="shared" ref="K701:K711" ca="1" si="423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4">I704+I706</f>
        <v>74</v>
      </c>
      <c r="J702" s="340">
        <f t="shared" ca="1" si="424"/>
        <v>58</v>
      </c>
      <c r="K702" s="515">
        <f t="shared" ca="1" si="423"/>
        <v>78.378378378378372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70.64</v>
      </c>
      <c r="K703" s="515">
        <f t="shared" si="423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IFERROR(__xludf.DUMMYFUNCTION("IMPORTRANGE(""https://docs.google.com/spreadsheets/d/1eHaY18a8A9IcSdp1K8H6x8fbOy06t2VsZHhMHf-1x7Y/edit?usp=sharing"",""แผน!LJ20"")"),70)</f>
        <v>70</v>
      </c>
      <c r="J704" s="189">
        <f ca="1">IFERROR(__xludf.DUMMYFUNCTION("IMPORTRANGE(""https://docs.google.com/spreadsheets/d/1tdoBKaGub7dwA3U6UFTqxio9LNnvDCQjHKmttSEBsFQ/edit?usp=sharing"",""จัดที่ดิน!AP20"")"),58)</f>
        <v>58</v>
      </c>
      <c r="K704" s="230">
        <f t="shared" ca="1" si="423"/>
        <v>82.857142857142861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IFERROR(__xludf.DUMMYFUNCTION("IMPORTRANGE(""https://docs.google.com/spreadsheets/d/1tdoBKaGub7dwA3U6UFTqxio9LNnvDCQjHKmttSEBsFQ/edit?usp=sharing"",""จัดที่ดิน!AQ20"")"),70.64)</f>
        <v>70.64</v>
      </c>
      <c r="K705" s="230">
        <f t="shared" si="423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IFERROR(__xludf.DUMMYFUNCTION("IMPORTRANGE(""https://docs.google.com/spreadsheets/d/1eHaY18a8A9IcSdp1K8H6x8fbOy06t2VsZHhMHf-1x7Y/edit?usp=sharing"",""แผน!LK20"")"),4)</f>
        <v>4</v>
      </c>
      <c r="J706" s="189">
        <f ca="1">IFERROR(__xludf.DUMMYFUNCTION("IMPORTRANGE(""https://docs.google.com/spreadsheets/d/1tdoBKaGub7dwA3U6UFTqxio9LNnvDCQjHKmttSEBsFQ/edit?usp=sharing"",""จัดที่ดิน!AR20"")"),0)</f>
        <v>0</v>
      </c>
      <c r="K706" s="521">
        <f t="shared" ca="1" si="423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IFERROR(__xludf.DUMMYFUNCTION("IMPORTRANGE(""https://docs.google.com/spreadsheets/d/1tdoBKaGub7dwA3U6UFTqxio9LNnvDCQjHKmttSEBsFQ/edit?usp=sharing"",""จัดที่ดิน!AS20"")"),0)</f>
        <v>0</v>
      </c>
      <c r="K707" s="230">
        <f t="shared" si="423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IFERROR(__xludf.DUMMYFUNCTION("IMPORTRANGE(""https://docs.google.com/spreadsheets/d/1eHaY18a8A9IcSdp1K8H6x8fbOy06t2VsZHhMHf-1x7Y/edit?usp=sharing"",""แผน!LJ20"")"),70)</f>
        <v>70</v>
      </c>
      <c r="J708" s="189">
        <f ca="1">IFERROR(__xludf.DUMMYFUNCTION("IMPORTRANGE(""https://docs.google.com/spreadsheets/d/1tdoBKaGub7dwA3U6UFTqxio9LNnvDCQjHKmttSEBsFQ/edit?usp=sharing"",""จัดที่ดิน!BN20"")"),49)</f>
        <v>49</v>
      </c>
      <c r="K708" s="230">
        <f t="shared" ca="1" si="423"/>
        <v>70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IFERROR(__xludf.DUMMYFUNCTION("IMPORTRANGE(""https://docs.google.com/spreadsheets/d/1tdoBKaGub7dwA3U6UFTqxio9LNnvDCQjHKmttSEBsFQ/edit?usp=sharing"",""จัดที่ดิน!BO20"")"),48)</f>
        <v>48</v>
      </c>
      <c r="K709" s="230">
        <f t="shared" si="423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IFERROR(__xludf.DUMMYFUNCTION("IMPORTRANGE(""https://docs.google.com/spreadsheets/d/1eHaY18a8A9IcSdp1K8H6x8fbOy06t2VsZHhMHf-1x7Y/edit?usp=sharing"",""แผน!LK20"")"),4)</f>
        <v>4</v>
      </c>
      <c r="J710" s="189">
        <f ca="1">IFERROR(__xludf.DUMMYFUNCTION("IMPORTRANGE(""https://docs.google.com/spreadsheets/d/1tdoBKaGub7dwA3U6UFTqxio9LNnvDCQjHKmttSEBsFQ/edit?usp=sharing"",""จัดที่ดิน!BP20"")"),0)</f>
        <v>0</v>
      </c>
      <c r="K710" s="230">
        <f t="shared" ca="1" si="423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IFERROR(__xludf.DUMMYFUNCTION("IMPORTRANGE(""https://docs.google.com/spreadsheets/d/1tdoBKaGub7dwA3U6UFTqxio9LNnvDCQjHKmttSEBsFQ/edit?usp=sharing"",""จัดที่ดิน!BQ20"")"),0)</f>
        <v>0</v>
      </c>
      <c r="K711" s="230">
        <f t="shared" si="423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5">L716+L717</f>
        <v>0</v>
      </c>
      <c r="M715" s="515">
        <f t="shared" si="425"/>
        <v>0</v>
      </c>
      <c r="N715" s="515">
        <f t="shared" si="425"/>
        <v>0</v>
      </c>
      <c r="O715" s="515">
        <f t="shared" ref="O715:O723" si="426">IF(L715&gt;0,N715*100/L715,0)</f>
        <v>0</v>
      </c>
      <c r="P715" s="515">
        <f t="shared" ref="P715:P723" si="427">IF(M715&gt;0,N715*100/M715,0)</f>
        <v>0</v>
      </c>
      <c r="Q715" s="515">
        <f t="shared" ref="Q715:S715" si="428">Q716+Q717</f>
        <v>0</v>
      </c>
      <c r="R715" s="515">
        <f t="shared" si="428"/>
        <v>0</v>
      </c>
      <c r="S715" s="515">
        <f t="shared" si="428"/>
        <v>0</v>
      </c>
      <c r="T715" s="515">
        <f t="shared" ref="T715:T723" si="429">IF(Q715&gt;0,S715*100/Q715,0)</f>
        <v>0</v>
      </c>
      <c r="U715" s="515">
        <f t="shared" ref="U715:U723" si="430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1">L719+L722</f>
        <v>0</v>
      </c>
      <c r="M716" s="80">
        <f t="shared" si="431"/>
        <v>0</v>
      </c>
      <c r="N716" s="80">
        <f t="shared" si="431"/>
        <v>0</v>
      </c>
      <c r="O716" s="80">
        <f t="shared" si="426"/>
        <v>0</v>
      </c>
      <c r="P716" s="80">
        <f t="shared" si="427"/>
        <v>0</v>
      </c>
      <c r="Q716" s="80">
        <f t="shared" ref="Q716:S717" si="432">Q719+Q722</f>
        <v>0</v>
      </c>
      <c r="R716" s="80">
        <f t="shared" si="432"/>
        <v>0</v>
      </c>
      <c r="S716" s="80">
        <f t="shared" si="432"/>
        <v>0</v>
      </c>
      <c r="T716" s="80">
        <f t="shared" si="429"/>
        <v>0</v>
      </c>
      <c r="U716" s="80">
        <f t="shared" si="430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1"/>
        <v>0</v>
      </c>
      <c r="M717" s="230">
        <f t="shared" si="431"/>
        <v>0</v>
      </c>
      <c r="N717" s="230">
        <f t="shared" si="431"/>
        <v>0</v>
      </c>
      <c r="O717" s="230">
        <f t="shared" si="426"/>
        <v>0</v>
      </c>
      <c r="P717" s="230">
        <f t="shared" si="427"/>
        <v>0</v>
      </c>
      <c r="Q717" s="230">
        <f t="shared" si="432"/>
        <v>0</v>
      </c>
      <c r="R717" s="230">
        <f t="shared" si="432"/>
        <v>0</v>
      </c>
      <c r="S717" s="230">
        <f t="shared" si="432"/>
        <v>0</v>
      </c>
      <c r="T717" s="230">
        <f t="shared" si="429"/>
        <v>0</v>
      </c>
      <c r="U717" s="230">
        <f t="shared" si="430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3">L719+L720</f>
        <v>0</v>
      </c>
      <c r="M718" s="230">
        <f t="shared" si="433"/>
        <v>0</v>
      </c>
      <c r="N718" s="230">
        <f t="shared" si="433"/>
        <v>0</v>
      </c>
      <c r="O718" s="230">
        <f t="shared" si="426"/>
        <v>0</v>
      </c>
      <c r="P718" s="230">
        <f t="shared" si="427"/>
        <v>0</v>
      </c>
      <c r="Q718" s="230">
        <f t="shared" ref="Q718:S718" si="434">Q719+Q720</f>
        <v>0</v>
      </c>
      <c r="R718" s="230">
        <f t="shared" si="434"/>
        <v>0</v>
      </c>
      <c r="S718" s="230">
        <f t="shared" si="434"/>
        <v>0</v>
      </c>
      <c r="T718" s="230">
        <f t="shared" si="429"/>
        <v>0</v>
      </c>
      <c r="U718" s="230">
        <f t="shared" si="430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6"/>
        <v>0</v>
      </c>
      <c r="P719" s="80">
        <f t="shared" si="427"/>
        <v>0</v>
      </c>
      <c r="Q719" s="80">
        <v>0</v>
      </c>
      <c r="R719" s="80">
        <v>0</v>
      </c>
      <c r="S719" s="80">
        <v>0</v>
      </c>
      <c r="T719" s="80">
        <f t="shared" si="429"/>
        <v>0</v>
      </c>
      <c r="U719" s="80">
        <f t="shared" si="430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6"/>
        <v>0</v>
      </c>
      <c r="P720" s="230">
        <f t="shared" si="427"/>
        <v>0</v>
      </c>
      <c r="Q720" s="230">
        <v>0</v>
      </c>
      <c r="R720" s="230">
        <v>0</v>
      </c>
      <c r="S720" s="230">
        <v>0</v>
      </c>
      <c r="T720" s="230">
        <f t="shared" si="429"/>
        <v>0</v>
      </c>
      <c r="U720" s="230">
        <f t="shared" si="430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5">L722+L723</f>
        <v>0</v>
      </c>
      <c r="M721" s="230">
        <f t="shared" si="435"/>
        <v>0</v>
      </c>
      <c r="N721" s="230">
        <f t="shared" si="435"/>
        <v>0</v>
      </c>
      <c r="O721" s="230">
        <f t="shared" si="426"/>
        <v>0</v>
      </c>
      <c r="P721" s="230">
        <f t="shared" si="427"/>
        <v>0</v>
      </c>
      <c r="Q721" s="230">
        <f t="shared" ref="Q721:S721" si="436">Q722+Q723</f>
        <v>0</v>
      </c>
      <c r="R721" s="230">
        <f t="shared" si="436"/>
        <v>0</v>
      </c>
      <c r="S721" s="230">
        <f t="shared" si="436"/>
        <v>0</v>
      </c>
      <c r="T721" s="230">
        <f t="shared" si="429"/>
        <v>0</v>
      </c>
      <c r="U721" s="230">
        <f t="shared" si="430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6"/>
        <v>0</v>
      </c>
      <c r="P722" s="80">
        <f t="shared" si="427"/>
        <v>0</v>
      </c>
      <c r="Q722" s="80">
        <v>0</v>
      </c>
      <c r="R722" s="80">
        <v>0</v>
      </c>
      <c r="S722" s="80">
        <v>0</v>
      </c>
      <c r="T722" s="80">
        <f t="shared" si="429"/>
        <v>0</v>
      </c>
      <c r="U722" s="80">
        <f t="shared" si="430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6"/>
        <v>0</v>
      </c>
      <c r="P723" s="230">
        <f t="shared" si="427"/>
        <v>0</v>
      </c>
      <c r="Q723" s="230">
        <v>0</v>
      </c>
      <c r="R723" s="230">
        <v>0</v>
      </c>
      <c r="S723" s="230">
        <v>0</v>
      </c>
      <c r="T723" s="230">
        <f t="shared" si="429"/>
        <v>0</v>
      </c>
      <c r="U723" s="230">
        <f t="shared" si="430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IFERROR(__xludf.DUMMYFUNCTION("IMPORTRANGE(""https://docs.google.com/spreadsheets/d/1eHaY18a8A9IcSdp1K8H6x8fbOy06t2VsZHhMHf-1x7Y/edit?usp=sharing"",""แผน!GA20"")"),31)</f>
        <v>31</v>
      </c>
      <c r="J727" s="700">
        <f>J743+J747+J750</f>
        <v>0</v>
      </c>
      <c r="K727" s="701">
        <f t="shared" ref="K727:K728" ca="1" si="437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IFERROR(__xludf.DUMMYFUNCTION("IMPORTRANGE(""https://docs.google.com/spreadsheets/d/1eHaY18a8A9IcSdp1K8H6x8fbOy06t2VsZHhMHf-1x7Y/edit?usp=sharing"",""แผน!FZ20"")"),300)</f>
        <v>300</v>
      </c>
      <c r="J728" s="700">
        <f>J753+J756</f>
        <v>0</v>
      </c>
      <c r="K728" s="701">
        <f t="shared" ca="1" si="437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8">L730+L731</f>
        <v>0</v>
      </c>
      <c r="M729" s="515">
        <f t="shared" si="438"/>
        <v>0</v>
      </c>
      <c r="N729" s="515">
        <f t="shared" si="438"/>
        <v>0</v>
      </c>
      <c r="O729" s="515">
        <f t="shared" ref="O729:O737" si="439">IF(L729&gt;0,N729*100/L729,0)</f>
        <v>0</v>
      </c>
      <c r="P729" s="515">
        <f t="shared" ref="P729:P737" si="440">IF(M729&gt;0,N729*100/M729,0)</f>
        <v>0</v>
      </c>
      <c r="Q729" s="515">
        <f t="shared" ref="Q729:S729" ca="1" si="441">Q730+Q731</f>
        <v>242546</v>
      </c>
      <c r="R729" s="515">
        <f t="shared" ca="1" si="441"/>
        <v>242546</v>
      </c>
      <c r="S729" s="515">
        <f t="shared" ca="1" si="441"/>
        <v>1580</v>
      </c>
      <c r="T729" s="515">
        <f t="shared" ref="T729:T737" ca="1" si="442">IF(Q729&gt;0,S729*100/Q729,0)</f>
        <v>0.65142282288720488</v>
      </c>
      <c r="U729" s="515">
        <f t="shared" ref="U729:U737" ca="1" si="443">IF(R729&gt;0,S729*100/R729,0)</f>
        <v>0.65142282288720488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4">L733+L736</f>
        <v>0</v>
      </c>
      <c r="M730" s="80">
        <f t="shared" si="444"/>
        <v>0</v>
      </c>
      <c r="N730" s="80">
        <f t="shared" si="444"/>
        <v>0</v>
      </c>
      <c r="O730" s="80">
        <f t="shared" si="439"/>
        <v>0</v>
      </c>
      <c r="P730" s="80">
        <f t="shared" si="440"/>
        <v>0</v>
      </c>
      <c r="Q730" s="80">
        <f t="shared" ref="Q730:S731" si="445">Q733+Q736</f>
        <v>0</v>
      </c>
      <c r="R730" s="80">
        <f t="shared" si="445"/>
        <v>0</v>
      </c>
      <c r="S730" s="80">
        <f t="shared" si="445"/>
        <v>0</v>
      </c>
      <c r="T730" s="80">
        <f t="shared" si="442"/>
        <v>0</v>
      </c>
      <c r="U730" s="80">
        <f t="shared" si="443"/>
        <v>0</v>
      </c>
    </row>
    <row r="731" spans="1:21" ht="18.75" hidden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4"/>
        <v>0</v>
      </c>
      <c r="M731" s="230">
        <f t="shared" si="444"/>
        <v>0</v>
      </c>
      <c r="N731" s="230">
        <f t="shared" si="444"/>
        <v>0</v>
      </c>
      <c r="O731" s="230">
        <f t="shared" si="439"/>
        <v>0</v>
      </c>
      <c r="P731" s="230">
        <f t="shared" si="440"/>
        <v>0</v>
      </c>
      <c r="Q731" s="230">
        <f t="shared" ca="1" si="445"/>
        <v>242546</v>
      </c>
      <c r="R731" s="230">
        <f t="shared" ca="1" si="445"/>
        <v>242546</v>
      </c>
      <c r="S731" s="230">
        <f t="shared" ca="1" si="445"/>
        <v>1580</v>
      </c>
      <c r="T731" s="230">
        <f t="shared" ca="1" si="442"/>
        <v>0.65142282288720488</v>
      </c>
      <c r="U731" s="230">
        <f t="shared" ca="1" si="443"/>
        <v>0.65142282288720488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6">L733+L734</f>
        <v>0</v>
      </c>
      <c r="M732" s="230">
        <f t="shared" si="446"/>
        <v>0</v>
      </c>
      <c r="N732" s="230">
        <f t="shared" si="446"/>
        <v>0</v>
      </c>
      <c r="O732" s="230">
        <f t="shared" si="439"/>
        <v>0</v>
      </c>
      <c r="P732" s="230">
        <f t="shared" si="440"/>
        <v>0</v>
      </c>
      <c r="Q732" s="230">
        <f t="shared" ref="Q732:S732" ca="1" si="447">Q733+Q734</f>
        <v>242546</v>
      </c>
      <c r="R732" s="230">
        <f t="shared" ca="1" si="447"/>
        <v>242546</v>
      </c>
      <c r="S732" s="230">
        <f t="shared" ca="1" si="447"/>
        <v>1580</v>
      </c>
      <c r="T732" s="230">
        <f t="shared" ca="1" si="442"/>
        <v>0.65142282288720488</v>
      </c>
      <c r="U732" s="230">
        <f t="shared" ca="1" si="443"/>
        <v>0.65142282288720488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39"/>
        <v>0</v>
      </c>
      <c r="P733" s="80">
        <f t="shared" si="440"/>
        <v>0</v>
      </c>
      <c r="Q733" s="80">
        <v>0</v>
      </c>
      <c r="R733" s="80">
        <v>0</v>
      </c>
      <c r="S733" s="80">
        <v>0</v>
      </c>
      <c r="T733" s="80">
        <f t="shared" si="442"/>
        <v>0</v>
      </c>
      <c r="U733" s="80">
        <f t="shared" si="443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39"/>
        <v>0</v>
      </c>
      <c r="P734" s="230">
        <f t="shared" si="440"/>
        <v>0</v>
      </c>
      <c r="Q734" s="230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4" s="230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4" s="230">
        <f ca="1">IFERROR(__xludf.DUMMYFUNCTION("IMPORTRANGE(""https://docs.google.com/spreadsheets/d/1ItG2mGa2ceCfYo0BwxsXqNm01IGEUdYcSSLTEv9YCik/edit?usp=sharing"",""เบิกจ่ายกองทุน!Q20"")"),1580)</f>
        <v>1580</v>
      </c>
      <c r="T734" s="230">
        <f t="shared" ca="1" si="442"/>
        <v>0.65142282288720488</v>
      </c>
      <c r="U734" s="230">
        <f t="shared" ca="1" si="443"/>
        <v>0.65142282288720488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8">L736+L737</f>
        <v>0</v>
      </c>
      <c r="M735" s="230">
        <f t="shared" si="448"/>
        <v>0</v>
      </c>
      <c r="N735" s="230">
        <f t="shared" si="448"/>
        <v>0</v>
      </c>
      <c r="O735" s="230">
        <f t="shared" si="439"/>
        <v>0</v>
      </c>
      <c r="P735" s="230">
        <f t="shared" si="440"/>
        <v>0</v>
      </c>
      <c r="Q735" s="230">
        <f t="shared" ref="Q735:S735" si="449">Q736+Q737</f>
        <v>0</v>
      </c>
      <c r="R735" s="230">
        <f t="shared" si="449"/>
        <v>0</v>
      </c>
      <c r="S735" s="230">
        <f t="shared" si="449"/>
        <v>0</v>
      </c>
      <c r="T735" s="230">
        <f t="shared" si="442"/>
        <v>0</v>
      </c>
      <c r="U735" s="230">
        <f t="shared" si="443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39"/>
        <v>0</v>
      </c>
      <c r="P736" s="80">
        <f t="shared" si="440"/>
        <v>0</v>
      </c>
      <c r="Q736" s="80">
        <v>0</v>
      </c>
      <c r="R736" s="80">
        <v>0</v>
      </c>
      <c r="S736" s="80">
        <v>0</v>
      </c>
      <c r="T736" s="80">
        <f t="shared" si="442"/>
        <v>0</v>
      </c>
      <c r="U736" s="80">
        <f t="shared" si="443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39"/>
        <v>0</v>
      </c>
      <c r="P737" s="230">
        <f t="shared" si="440"/>
        <v>0</v>
      </c>
      <c r="Q737" s="230">
        <v>0</v>
      </c>
      <c r="R737" s="230">
        <v>0</v>
      </c>
      <c r="S737" s="230">
        <v>0</v>
      </c>
      <c r="T737" s="230">
        <f t="shared" si="442"/>
        <v>0</v>
      </c>
      <c r="U737" s="230">
        <f t="shared" si="443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IFERROR(__xludf.DUMMYFUNCTION("IMPORTRANGE(""https://docs.google.com/spreadsheets/d/1eHaY18a8A9IcSdp1K8H6x8fbOy06t2VsZHhMHf-1x7Y/edit?usp=sharing"",""แผน!GB20"")"),240)</f>
        <v>240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IFERROR(__xludf.DUMMYFUNCTION("IMPORTRANGE(""https://docs.google.com/spreadsheets/d/1eHaY18a8A9IcSdp1K8H6x8fbOy06t2VsZHhMHf-1x7Y/edit?usp=sharing"",""แผน!GC20"")"),24)</f>
        <v>24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IFERROR(__xludf.DUMMYFUNCTION("IMPORTRANGE(""https://docs.google.com/spreadsheets/d/1eHaY18a8A9IcSdp1K8H6x8fbOy06t2VsZHhMHf-1x7Y/edit?usp=sharing"",""แผน!GD20"")"),60)</f>
        <v>60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IFERROR(__xludf.DUMMYFUNCTION("IMPORTRANGE(""https://docs.google.com/spreadsheets/d/1eHaY18a8A9IcSdp1K8H6x8fbOy06t2VsZHhMHf-1x7Y/edit?usp=sharing"",""แผน!GE20"")"),6)</f>
        <v>6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IFERROR(__xludf.DUMMYFUNCTION("IMPORTRANGE(""https://docs.google.com/spreadsheets/d/1eHaY18a8A9IcSdp1K8H6x8fbOy06t2VsZHhMHf-1x7Y/edit?usp=sharing"",""แผน!GF20"")"),1)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IFERROR(__xludf.DUMMYFUNCTION("IMPORTRANGE(""https://docs.google.com/spreadsheets/d/1eHaY18a8A9IcSdp1K8H6x8fbOy06t2VsZHhMHf-1x7Y/edit?usp=sharing"",""แผน!GC20"")"),24)</f>
        <v>24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IFERROR(__xludf.DUMMYFUNCTION("IMPORTRANGE(""https://docs.google.com/spreadsheets/d/1eHaY18a8A9IcSdp1K8H6x8fbOy06t2VsZHhMHf-1x7Y/edit?usp=sharing"",""แผน!GE20"")"),6)</f>
        <v>6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0">I772</f>
        <v>80</v>
      </c>
      <c r="J758" s="700">
        <f t="shared" si="450"/>
        <v>33</v>
      </c>
      <c r="K758" s="701">
        <f t="shared" ref="K758:K759" ca="1" si="451">IF(I758&gt;0,J758*100/I758,0)</f>
        <v>41.25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2">I774</f>
        <v>140</v>
      </c>
      <c r="J759" s="700">
        <f t="shared" si="452"/>
        <v>57.75</v>
      </c>
      <c r="K759" s="701">
        <f t="shared" ca="1" si="451"/>
        <v>41.25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3">L761+L762</f>
        <v>0</v>
      </c>
      <c r="M760" s="515">
        <f t="shared" si="453"/>
        <v>0</v>
      </c>
      <c r="N760" s="515">
        <f t="shared" si="453"/>
        <v>0</v>
      </c>
      <c r="O760" s="515">
        <f t="shared" ref="O760:O768" si="454">IF(L760&gt;0,N760*100/L760,0)</f>
        <v>0</v>
      </c>
      <c r="P760" s="515">
        <f t="shared" ref="P760:P768" si="455">IF(M760&gt;0,N760*100/M760,0)</f>
        <v>0</v>
      </c>
      <c r="Q760" s="515">
        <f t="shared" ref="Q760:S760" ca="1" si="456">Q761+Q762</f>
        <v>484700</v>
      </c>
      <c r="R760" s="515">
        <f t="shared" ca="1" si="456"/>
        <v>484700</v>
      </c>
      <c r="S760" s="515">
        <f t="shared" ca="1" si="456"/>
        <v>12280</v>
      </c>
      <c r="T760" s="515">
        <f t="shared" ref="T760:T768" ca="1" si="457">IF(Q760&gt;0,S760*100/Q760,0)</f>
        <v>2.5335258923045183</v>
      </c>
      <c r="U760" s="515">
        <f t="shared" ref="U760:U768" ca="1" si="458">IF(R760&gt;0,S760*100/R760,0)</f>
        <v>2.5335258923045183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59">L764+L767</f>
        <v>0</v>
      </c>
      <c r="M761" s="80">
        <f t="shared" si="459"/>
        <v>0</v>
      </c>
      <c r="N761" s="80">
        <f t="shared" si="459"/>
        <v>0</v>
      </c>
      <c r="O761" s="80">
        <f t="shared" si="454"/>
        <v>0</v>
      </c>
      <c r="P761" s="80">
        <f t="shared" si="455"/>
        <v>0</v>
      </c>
      <c r="Q761" s="80">
        <f t="shared" ref="Q761:S762" si="460">Q764+Q767</f>
        <v>0</v>
      </c>
      <c r="R761" s="80">
        <f t="shared" si="460"/>
        <v>0</v>
      </c>
      <c r="S761" s="80">
        <f t="shared" si="460"/>
        <v>0</v>
      </c>
      <c r="T761" s="80">
        <f t="shared" si="457"/>
        <v>0</v>
      </c>
      <c r="U761" s="80">
        <f t="shared" si="458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59"/>
        <v>0</v>
      </c>
      <c r="M762" s="230">
        <f t="shared" si="459"/>
        <v>0</v>
      </c>
      <c r="N762" s="230">
        <f t="shared" si="459"/>
        <v>0</v>
      </c>
      <c r="O762" s="230">
        <f t="shared" si="454"/>
        <v>0</v>
      </c>
      <c r="P762" s="230">
        <f t="shared" si="455"/>
        <v>0</v>
      </c>
      <c r="Q762" s="230">
        <f t="shared" ca="1" si="460"/>
        <v>484700</v>
      </c>
      <c r="R762" s="230">
        <f t="shared" ca="1" si="460"/>
        <v>484700</v>
      </c>
      <c r="S762" s="230">
        <f t="shared" ca="1" si="460"/>
        <v>12280</v>
      </c>
      <c r="T762" s="230">
        <f t="shared" ca="1" si="457"/>
        <v>2.5335258923045183</v>
      </c>
      <c r="U762" s="230">
        <f t="shared" ca="1" si="458"/>
        <v>2.5335258923045183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1">L764+L765</f>
        <v>0</v>
      </c>
      <c r="M763" s="230">
        <f t="shared" si="461"/>
        <v>0</v>
      </c>
      <c r="N763" s="230">
        <f t="shared" si="461"/>
        <v>0</v>
      </c>
      <c r="O763" s="230">
        <f t="shared" si="454"/>
        <v>0</v>
      </c>
      <c r="P763" s="230">
        <f t="shared" si="455"/>
        <v>0</v>
      </c>
      <c r="Q763" s="230">
        <f t="shared" ref="Q763:S763" ca="1" si="462">Q764+Q765</f>
        <v>484700</v>
      </c>
      <c r="R763" s="230">
        <f t="shared" ca="1" si="462"/>
        <v>484700</v>
      </c>
      <c r="S763" s="230">
        <f t="shared" ca="1" si="462"/>
        <v>12280</v>
      </c>
      <c r="T763" s="230">
        <f t="shared" ca="1" si="457"/>
        <v>2.5335258923045183</v>
      </c>
      <c r="U763" s="230">
        <f t="shared" ca="1" si="458"/>
        <v>2.5335258923045183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4"/>
        <v>0</v>
      </c>
      <c r="P764" s="80">
        <f t="shared" si="455"/>
        <v>0</v>
      </c>
      <c r="Q764" s="80">
        <v>0</v>
      </c>
      <c r="R764" s="80">
        <v>0</v>
      </c>
      <c r="S764" s="80">
        <v>0</v>
      </c>
      <c r="T764" s="80">
        <f t="shared" si="457"/>
        <v>0</v>
      </c>
      <c r="U764" s="80">
        <f t="shared" si="458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4"/>
        <v>0</v>
      </c>
      <c r="P765" s="230">
        <f t="shared" si="455"/>
        <v>0</v>
      </c>
      <c r="Q765" s="230">
        <f ca="1">IFERROR(__xludf.DUMMYFUNCTION("IMPORTRANGE(""https://docs.google.com/spreadsheets/d/1ItG2mGa2ceCfYo0BwxsXqNm01IGEUdYcSSLTEv9YCik/edit?usp=sharing"",""เบิกจ่ายกองทุน!U20"")"),484700)</f>
        <v>484700</v>
      </c>
      <c r="R765" s="230">
        <f ca="1">IFERROR(__xludf.DUMMYFUNCTION("IMPORTRANGE(""https://docs.google.com/spreadsheets/d/1ItG2mGa2ceCfYo0BwxsXqNm01IGEUdYcSSLTEv9YCik/edit?usp=sharing"",""เบิกจ่ายกองทุน!V20"")"),484700)</f>
        <v>484700</v>
      </c>
      <c r="S765" s="230">
        <f ca="1">IFERROR(__xludf.DUMMYFUNCTION("IMPORTRANGE(""https://docs.google.com/spreadsheets/d/1ItG2mGa2ceCfYo0BwxsXqNm01IGEUdYcSSLTEv9YCik/edit?usp=sharing"",""เบิกจ่ายกองทุน!W20"")"),12280)</f>
        <v>12280</v>
      </c>
      <c r="T765" s="230">
        <f t="shared" ca="1" si="457"/>
        <v>2.5335258923045183</v>
      </c>
      <c r="U765" s="230">
        <f t="shared" ca="1" si="458"/>
        <v>2.5335258923045183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3">L767+L768</f>
        <v>0</v>
      </c>
      <c r="M766" s="230">
        <f t="shared" si="463"/>
        <v>0</v>
      </c>
      <c r="N766" s="230">
        <f t="shared" si="463"/>
        <v>0</v>
      </c>
      <c r="O766" s="230">
        <f t="shared" si="454"/>
        <v>0</v>
      </c>
      <c r="P766" s="230">
        <f t="shared" si="455"/>
        <v>0</v>
      </c>
      <c r="Q766" s="230">
        <f t="shared" ref="Q766:S766" si="464">Q767+Q768</f>
        <v>0</v>
      </c>
      <c r="R766" s="230">
        <f t="shared" si="464"/>
        <v>0</v>
      </c>
      <c r="S766" s="230">
        <f t="shared" si="464"/>
        <v>0</v>
      </c>
      <c r="T766" s="230">
        <f t="shared" si="457"/>
        <v>0</v>
      </c>
      <c r="U766" s="230">
        <f t="shared" si="458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4"/>
        <v>0</v>
      </c>
      <c r="P767" s="80">
        <f t="shared" si="455"/>
        <v>0</v>
      </c>
      <c r="Q767" s="80">
        <v>0</v>
      </c>
      <c r="R767" s="80">
        <v>0</v>
      </c>
      <c r="S767" s="80">
        <v>0</v>
      </c>
      <c r="T767" s="80">
        <f t="shared" si="457"/>
        <v>0</v>
      </c>
      <c r="U767" s="80">
        <f t="shared" si="458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4"/>
        <v>0</v>
      </c>
      <c r="P768" s="230">
        <f t="shared" si="455"/>
        <v>0</v>
      </c>
      <c r="Q768" s="230">
        <v>0</v>
      </c>
      <c r="R768" s="230">
        <v>0</v>
      </c>
      <c r="S768" s="230">
        <v>0</v>
      </c>
      <c r="T768" s="230">
        <f t="shared" si="457"/>
        <v>0</v>
      </c>
      <c r="U768" s="230">
        <f t="shared" si="458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IFERROR(__xludf.DUMMYFUNCTION("IMPORTRANGE(""https://docs.google.com/spreadsheets/d/1eHaY18a8A9IcSdp1K8H6x8fbOy06t2VsZHhMHf-1x7Y/edit?usp=sharing"",""แผน!FI20"")"),0)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IFERROR(__xludf.DUMMYFUNCTION("IMPORTRANGE(""https://docs.google.com/spreadsheets/d/1eHaY18a8A9IcSdp1K8H6x8fbOy06t2VsZHhMHf-1x7Y/edit?usp=sharing"",""แผน!FQ20"")"),80)</f>
        <v>80</v>
      </c>
      <c r="J772" s="520">
        <v>33</v>
      </c>
      <c r="K772" s="230">
        <f ca="1">IF(I772&gt;0,J772*100/I772,0)</f>
        <v>41.25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IFERROR(__xludf.DUMMYFUNCTION("IMPORTRANGE(""https://docs.google.com/spreadsheets/d/1eHaY18a8A9IcSdp1K8H6x8fbOy06t2VsZHhMHf-1x7Y/edit?usp=sharing"",""แผน!FR20"")"),140)</f>
        <v>140</v>
      </c>
      <c r="J774" s="520">
        <v>57.75</v>
      </c>
      <c r="K774" s="230">
        <f ca="1">IF(I774&gt;0,J774*100/I774,0)</f>
        <v>41.25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IFERROR(__xludf.DUMMYFUNCTION("IMPORTRANGE(""https://docs.google.com/spreadsheets/d/1eHaY18a8A9IcSdp1K8H6x8fbOy06t2VsZHhMHf-1x7Y/edit?usp=sharing"",""แผน!FS20"")"),140)</f>
        <v>140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IFERROR(__xludf.DUMMYFUNCTION("IMPORTRANGE(""https://docs.google.com/spreadsheets/d/1eHaY18a8A9IcSdp1K8H6x8fbOy06t2VsZHhMHf-1x7Y/edit?usp=sharing"",""แผน!FT20"")"),80)</f>
        <v>80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IFERROR(__xludf.DUMMYFUNCTION("IMPORTRANGE(""https://docs.google.com/spreadsheets/d/10OvvATaaLtwErnr3qtWFcTmtbfpFEt5Bsqel9sXx0uE/edit?usp=sharing"",""งานกองทุน!D20"")"),4179397.67)</f>
        <v>4179397.67</v>
      </c>
      <c r="J778" s="189">
        <f ca="1">IFERROR(__xludf.DUMMYFUNCTION("IMPORTRANGE(""https://docs.google.com/spreadsheets/d/10OvvATaaLtwErnr3qtWFcTmtbfpFEt5Bsqel9sXx0uE/edit?usp=sharing"",""งานกองทุน!F20"")"),894414.94)</f>
        <v>894414.94</v>
      </c>
      <c r="K778" s="230">
        <f t="shared" ref="K778:K785" ca="1" si="465">IF(I778&gt;0,J778*100/I778,0)</f>
        <v>21.400570384105134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IFERROR(__xludf.DUMMYFUNCTION("IMPORTRANGE(""https://docs.google.com/spreadsheets/d/10OvvATaaLtwErnr3qtWFcTmtbfpFEt5Bsqel9sXx0uE/edit?usp=sharing"",""งานกองทุน!C20"")"),416)</f>
        <v>416</v>
      </c>
      <c r="J779" s="189">
        <f ca="1">IFERROR(__xludf.DUMMYFUNCTION("IMPORTRANGE(""https://docs.google.com/spreadsheets/d/10OvvATaaLtwErnr3qtWFcTmtbfpFEt5Bsqel9sXx0uE/edit?usp=sharing"",""งานกองทุน!E20"")"),74)</f>
        <v>74</v>
      </c>
      <c r="K779" s="230">
        <f t="shared" ca="1" si="465"/>
        <v>17.78846153846154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89">
        <f ca="1">IFERROR(__xludf.DUMMYFUNCTION("IMPORTRANGE(""https://docs.google.com/spreadsheets/d/10OvvATaaLtwErnr3qtWFcTmtbfpFEt5Bsqel9sXx0uE/edit?usp=sharing"",""งานกองทุน!K20"")"),151576.27)</f>
        <v>151576.26999999999</v>
      </c>
      <c r="K780" s="230">
        <f t="shared" ca="1" si="465"/>
        <v>1.536787062725492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IFERROR(__xludf.DUMMYFUNCTION("IMPORTRANGE(""https://docs.google.com/spreadsheets/d/10OvvATaaLtwErnr3qtWFcTmtbfpFEt5Bsqel9sXx0uE/edit?usp=sharing"",""งานกองทุน!H20"")"),351)</f>
        <v>351</v>
      </c>
      <c r="J781" s="189">
        <f ca="1">IFERROR(__xludf.DUMMYFUNCTION("IMPORTRANGE(""https://docs.google.com/spreadsheets/d/10OvvATaaLtwErnr3qtWFcTmtbfpFEt5Bsqel9sXx0uE/edit?usp=sharing"",""งานกองทุน!J20"")"),21)</f>
        <v>21</v>
      </c>
      <c r="K781" s="230">
        <f t="shared" ca="1" si="465"/>
        <v>5.982905982905983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89">
        <f ca="1">IFERROR(__xludf.DUMMYFUNCTION("IMPORTRANGE(""https://docs.google.com/spreadsheets/d/10OvvATaaLtwErnr3qtWFcTmtbfpFEt5Bsqel9sXx0uE/edit?usp=sharing"",""งานกองทุน!P20"")"),1756.69)</f>
        <v>1756.69</v>
      </c>
      <c r="K782" s="230">
        <f t="shared" ca="1" si="465"/>
        <v>1.4865294716913402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IFERROR(__xludf.DUMMYFUNCTION("IMPORTRANGE(""https://docs.google.com/spreadsheets/d/10OvvATaaLtwErnr3qtWFcTmtbfpFEt5Bsqel9sXx0uE/edit?usp=sharing"",""งานกองทุน!M20"")"),241)</f>
        <v>241</v>
      </c>
      <c r="J783" s="189">
        <f ca="1">IFERROR(__xludf.DUMMYFUNCTION("IMPORTRANGE(""https://docs.google.com/spreadsheets/d/10OvvATaaLtwErnr3qtWFcTmtbfpFEt5Bsqel9sXx0uE/edit?usp=sharing"",""งานกองทุน!O20"")"),3)</f>
        <v>3</v>
      </c>
      <c r="K783" s="230">
        <f t="shared" ca="1" si="465"/>
        <v>1.2448132780082988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IFERROR(__xludf.DUMMYFUNCTION("IMPORTRANGE(""https://docs.google.com/spreadsheets/d/10OvvATaaLtwErnr3qtWFcTmtbfpFEt5Bsqel9sXx0uE/edit?usp=sharing"",""งานกองทุน!S20"")"),6696000)</f>
        <v>6696000</v>
      </c>
      <c r="J784" s="189">
        <f ca="1">IFERROR(__xludf.DUMMYFUNCTION("IMPORTRANGE(""https://docs.google.com/spreadsheets/d/10OvvATaaLtwErnr3qtWFcTmtbfpFEt5Bsqel9sXx0uE/edit?usp=sharing"",""งานกองทุน!U20"")"),0)</f>
        <v>0</v>
      </c>
      <c r="K784" s="230">
        <f t="shared" ca="1" si="465"/>
        <v>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IFERROR(__xludf.DUMMYFUNCTION("IMPORTRANGE(""https://docs.google.com/spreadsheets/d/10OvvATaaLtwErnr3qtWFcTmtbfpFEt5Bsqel9sXx0uE/edit?usp=sharing"",""งานกองทุน!R20"")"),133)</f>
        <v>133</v>
      </c>
      <c r="J785" s="194">
        <f ca="1">IFERROR(__xludf.DUMMYFUNCTION("IMPORTRANGE(""https://docs.google.com/spreadsheets/d/10OvvATaaLtwErnr3qtWFcTmtbfpFEt5Bsqel9sXx0uE/edit?usp=sharing"",""งานกองทุน!T20"")"),0)</f>
        <v>0</v>
      </c>
      <c r="K785" s="461">
        <f t="shared" ca="1" si="465"/>
        <v>0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B6D5D-FAAA-4E2A-8B2F-96533DFBE498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activeCell="A115" sqref="A70:XFD115"/>
      <selection pane="topRight" activeCell="A115" sqref="A70:XFD115"/>
      <selection pane="bottomLeft" activeCell="A115" sqref="A70:XFD115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322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825" t="s">
        <v>333</v>
      </c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</row>
    <row r="4" spans="1:21" ht="19.5" x14ac:dyDescent="0.3">
      <c r="A4" s="825"/>
      <c r="B4" s="816"/>
      <c r="C4" s="816"/>
      <c r="D4" s="816"/>
      <c r="E4" s="816"/>
      <c r="F4" s="816"/>
      <c r="G4" s="816"/>
      <c r="H4" s="816"/>
      <c r="I4" s="466"/>
      <c r="J4" s="466"/>
      <c r="K4" s="466"/>
      <c r="L4" s="260"/>
      <c r="M4" s="260"/>
      <c r="N4" s="260"/>
      <c r="O4" s="260"/>
      <c r="P4" s="260"/>
      <c r="Q4" s="260"/>
      <c r="R4" s="260"/>
      <c r="S4" s="260"/>
      <c r="T4" s="260"/>
      <c r="U4" s="260"/>
    </row>
    <row r="5" spans="1:21" ht="19.5" x14ac:dyDescent="0.3">
      <c r="A5" s="5"/>
      <c r="B5" s="5"/>
      <c r="C5" s="5"/>
      <c r="D5" s="5"/>
      <c r="E5" s="5"/>
      <c r="F5" s="5"/>
      <c r="G5" s="5"/>
      <c r="H5" s="5"/>
      <c r="I5" s="5"/>
      <c r="J5" s="6"/>
      <c r="K5" s="467"/>
      <c r="L5" s="826" t="s">
        <v>2</v>
      </c>
      <c r="M5" s="803"/>
      <c r="N5" s="803"/>
      <c r="O5" s="803"/>
      <c r="P5" s="804"/>
      <c r="Q5" s="827" t="s">
        <v>3</v>
      </c>
      <c r="R5" s="803"/>
      <c r="S5" s="803"/>
      <c r="T5" s="803"/>
      <c r="U5" s="804"/>
    </row>
    <row r="6" spans="1:21" ht="19.5" x14ac:dyDescent="0.3">
      <c r="A6" s="828" t="s">
        <v>4</v>
      </c>
      <c r="B6" s="816"/>
      <c r="C6" s="816"/>
      <c r="D6" s="816"/>
      <c r="E6" s="816"/>
      <c r="F6" s="816"/>
      <c r="G6" s="817"/>
      <c r="H6" s="468" t="s">
        <v>5</v>
      </c>
      <c r="I6" s="810" t="s">
        <v>6</v>
      </c>
      <c r="J6" s="803"/>
      <c r="K6" s="804"/>
      <c r="L6" s="829" t="s">
        <v>7</v>
      </c>
      <c r="M6" s="804"/>
      <c r="N6" s="802" t="s">
        <v>8</v>
      </c>
      <c r="O6" s="803"/>
      <c r="P6" s="804"/>
      <c r="Q6" s="805" t="s">
        <v>7</v>
      </c>
      <c r="R6" s="804"/>
      <c r="S6" s="802" t="s">
        <v>8</v>
      </c>
      <c r="T6" s="803"/>
      <c r="U6" s="804"/>
    </row>
    <row r="7" spans="1:21" ht="45.75" customHeight="1" x14ac:dyDescent="0.3">
      <c r="A7" s="818"/>
      <c r="B7" s="803"/>
      <c r="C7" s="803"/>
      <c r="D7" s="803"/>
      <c r="E7" s="803"/>
      <c r="F7" s="803"/>
      <c r="G7" s="804"/>
      <c r="H7" s="469"/>
      <c r="I7" s="795" t="s">
        <v>9</v>
      </c>
      <c r="J7" s="796" t="s">
        <v>10</v>
      </c>
      <c r="K7" s="795" t="s">
        <v>11</v>
      </c>
      <c r="L7" s="800" t="s">
        <v>12</v>
      </c>
      <c r="M7" s="798" t="s">
        <v>13</v>
      </c>
      <c r="N7" s="799" t="s">
        <v>14</v>
      </c>
      <c r="O7" s="797" t="s">
        <v>15</v>
      </c>
      <c r="P7" s="798" t="s">
        <v>16</v>
      </c>
      <c r="Q7" s="797" t="s">
        <v>12</v>
      </c>
      <c r="R7" s="798" t="s">
        <v>13</v>
      </c>
      <c r="S7" s="799" t="s">
        <v>14</v>
      </c>
      <c r="T7" s="797" t="s">
        <v>15</v>
      </c>
      <c r="U7" s="798" t="s">
        <v>16</v>
      </c>
    </row>
    <row r="8" spans="1:21" ht="12.75" hidden="1" x14ac:dyDescent="0.2">
      <c r="A8" s="832"/>
      <c r="B8" s="803"/>
      <c r="C8" s="803"/>
      <c r="D8" s="803"/>
      <c r="E8" s="803"/>
      <c r="F8" s="803"/>
      <c r="G8" s="804"/>
      <c r="H8" s="11"/>
      <c r="I8" s="12"/>
      <c r="J8" s="12"/>
      <c r="K8" s="13"/>
      <c r="L8" s="470"/>
      <c r="M8" s="13"/>
      <c r="N8" s="13"/>
      <c r="O8" s="13"/>
      <c r="P8" s="13"/>
      <c r="Q8" s="13"/>
      <c r="R8" s="13"/>
      <c r="S8" s="13"/>
      <c r="T8" s="13"/>
      <c r="U8" s="13"/>
    </row>
    <row r="9" spans="1:21" ht="12.75" hidden="1" x14ac:dyDescent="0.2">
      <c r="A9" s="14"/>
      <c r="B9" s="15"/>
      <c r="C9" s="15"/>
      <c r="D9" s="15"/>
      <c r="E9" s="15"/>
      <c r="F9" s="15"/>
      <c r="G9" s="16"/>
      <c r="H9" s="16"/>
      <c r="I9" s="17"/>
      <c r="J9" s="17"/>
      <c r="K9" s="18"/>
      <c r="L9" s="471"/>
      <c r="M9" s="18"/>
      <c r="N9" s="18"/>
      <c r="O9" s="18"/>
      <c r="P9" s="18"/>
      <c r="Q9" s="18"/>
      <c r="R9" s="18"/>
      <c r="S9" s="18"/>
      <c r="T9" s="18"/>
      <c r="U9" s="18"/>
    </row>
    <row r="10" spans="1:21" ht="12.75" hidden="1" x14ac:dyDescent="0.2">
      <c r="A10" s="14"/>
      <c r="B10" s="15"/>
      <c r="C10" s="15"/>
      <c r="D10" s="15"/>
      <c r="E10" s="15"/>
      <c r="F10" s="15"/>
      <c r="G10" s="16"/>
      <c r="H10" s="16"/>
      <c r="I10" s="17"/>
      <c r="J10" s="17"/>
      <c r="K10" s="18"/>
      <c r="L10" s="471"/>
      <c r="M10" s="18"/>
      <c r="N10" s="18"/>
      <c r="O10" s="18"/>
      <c r="P10" s="18"/>
      <c r="Q10" s="18"/>
      <c r="R10" s="18"/>
      <c r="S10" s="18"/>
      <c r="T10" s="18"/>
      <c r="U10" s="18"/>
    </row>
    <row r="11" spans="1:21" ht="12.75" hidden="1" x14ac:dyDescent="0.2">
      <c r="A11" s="14"/>
      <c r="B11" s="15"/>
      <c r="C11" s="15"/>
      <c r="D11" s="15"/>
      <c r="E11" s="15"/>
      <c r="F11" s="15"/>
      <c r="G11" s="16"/>
      <c r="H11" s="16"/>
      <c r="I11" s="17"/>
      <c r="J11" s="17"/>
      <c r="K11" s="18"/>
      <c r="L11" s="471"/>
      <c r="M11" s="18"/>
      <c r="N11" s="18"/>
      <c r="O11" s="18"/>
      <c r="P11" s="18"/>
      <c r="Q11" s="18"/>
      <c r="R11" s="18"/>
      <c r="S11" s="18"/>
      <c r="T11" s="18"/>
      <c r="U11" s="18"/>
    </row>
    <row r="12" spans="1:21" ht="12.75" hidden="1" x14ac:dyDescent="0.2">
      <c r="A12" s="14"/>
      <c r="B12" s="15"/>
      <c r="C12" s="15"/>
      <c r="D12" s="15"/>
      <c r="E12" s="15"/>
      <c r="F12" s="15"/>
      <c r="G12" s="16"/>
      <c r="H12" s="16"/>
      <c r="I12" s="17"/>
      <c r="J12" s="17"/>
      <c r="K12" s="18"/>
      <c r="L12" s="471"/>
      <c r="M12" s="18"/>
      <c r="N12" s="18"/>
      <c r="O12" s="18"/>
      <c r="P12" s="18"/>
      <c r="Q12" s="18"/>
      <c r="R12" s="18"/>
      <c r="S12" s="18"/>
      <c r="T12" s="18"/>
      <c r="U12" s="18"/>
    </row>
    <row r="13" spans="1:21" ht="12.75" hidden="1" x14ac:dyDescent="0.2">
      <c r="A13" s="14"/>
      <c r="B13" s="15"/>
      <c r="C13" s="15"/>
      <c r="D13" s="15"/>
      <c r="E13" s="15"/>
      <c r="F13" s="15"/>
      <c r="G13" s="16"/>
      <c r="H13" s="16"/>
      <c r="I13" s="17"/>
      <c r="J13" s="17"/>
      <c r="K13" s="18"/>
      <c r="L13" s="471"/>
      <c r="M13" s="18"/>
      <c r="N13" s="18"/>
      <c r="O13" s="18"/>
      <c r="P13" s="18"/>
      <c r="Q13" s="18"/>
      <c r="R13" s="18"/>
      <c r="S13" s="18"/>
      <c r="T13" s="18"/>
      <c r="U13" s="18"/>
    </row>
    <row r="14" spans="1:21" ht="12.75" hidden="1" x14ac:dyDescent="0.2">
      <c r="A14" s="14"/>
      <c r="B14" s="15"/>
      <c r="C14" s="15"/>
      <c r="D14" s="15"/>
      <c r="E14" s="15"/>
      <c r="F14" s="15"/>
      <c r="G14" s="16"/>
      <c r="H14" s="16"/>
      <c r="I14" s="17"/>
      <c r="J14" s="17"/>
      <c r="K14" s="18"/>
      <c r="L14" s="471"/>
      <c r="M14" s="18"/>
      <c r="N14" s="18"/>
      <c r="O14" s="18"/>
      <c r="P14" s="18"/>
      <c r="Q14" s="18"/>
      <c r="R14" s="18"/>
      <c r="S14" s="18"/>
      <c r="T14" s="18"/>
      <c r="U14" s="18"/>
    </row>
    <row r="15" spans="1:21" ht="12.75" hidden="1" x14ac:dyDescent="0.2">
      <c r="A15" s="14"/>
      <c r="B15" s="15"/>
      <c r="C15" s="15"/>
      <c r="D15" s="15"/>
      <c r="E15" s="15"/>
      <c r="F15" s="15"/>
      <c r="G15" s="16"/>
      <c r="H15" s="16"/>
      <c r="I15" s="17"/>
      <c r="J15" s="17"/>
      <c r="K15" s="18"/>
      <c r="L15" s="471"/>
      <c r="M15" s="18"/>
      <c r="N15" s="18"/>
      <c r="O15" s="18"/>
      <c r="P15" s="18"/>
      <c r="Q15" s="18"/>
      <c r="R15" s="18"/>
      <c r="S15" s="18"/>
      <c r="T15" s="18"/>
      <c r="U15" s="18"/>
    </row>
    <row r="16" spans="1:21" ht="12.75" hidden="1" x14ac:dyDescent="0.2">
      <c r="A16" s="14"/>
      <c r="B16" s="15"/>
      <c r="C16" s="15"/>
      <c r="D16" s="15"/>
      <c r="E16" s="15"/>
      <c r="F16" s="15"/>
      <c r="G16" s="16"/>
      <c r="H16" s="16"/>
      <c r="I16" s="17"/>
      <c r="J16" s="17"/>
      <c r="K16" s="18"/>
      <c r="L16" s="471"/>
      <c r="M16" s="18"/>
      <c r="N16" s="18"/>
      <c r="O16" s="18"/>
      <c r="P16" s="18"/>
      <c r="Q16" s="18"/>
      <c r="R16" s="18"/>
      <c r="S16" s="18"/>
      <c r="T16" s="18"/>
      <c r="U16" s="18"/>
    </row>
    <row r="17" spans="1:21" ht="12.75" hidden="1" x14ac:dyDescent="0.2">
      <c r="A17" s="10"/>
      <c r="B17" s="19"/>
      <c r="C17" s="19"/>
      <c r="D17" s="19"/>
      <c r="E17" s="19"/>
      <c r="F17" s="19"/>
      <c r="G17" s="11"/>
      <c r="H17" s="11"/>
      <c r="I17" s="12"/>
      <c r="J17" s="12"/>
      <c r="K17" s="13"/>
      <c r="L17" s="470"/>
      <c r="M17" s="13"/>
      <c r="N17" s="13"/>
      <c r="O17" s="13"/>
      <c r="P17" s="13"/>
      <c r="Q17" s="13"/>
      <c r="R17" s="13"/>
      <c r="S17" s="13"/>
      <c r="T17" s="13"/>
      <c r="U17" s="13"/>
    </row>
    <row r="18" spans="1:21" ht="19.5" x14ac:dyDescent="0.3">
      <c r="A18" s="820" t="s">
        <v>297</v>
      </c>
      <c r="B18" s="803"/>
      <c r="C18" s="803"/>
      <c r="D18" s="803"/>
      <c r="E18" s="803"/>
      <c r="F18" s="803"/>
      <c r="G18" s="804"/>
      <c r="H18" s="20"/>
      <c r="I18" s="21"/>
      <c r="J18" s="21"/>
      <c r="K18" s="22"/>
      <c r="L18" s="472"/>
      <c r="M18" s="22"/>
      <c r="N18" s="22"/>
      <c r="O18" s="22"/>
      <c r="P18" s="22"/>
      <c r="Q18" s="22"/>
      <c r="R18" s="22"/>
      <c r="S18" s="22"/>
      <c r="T18" s="22"/>
      <c r="U18" s="22"/>
    </row>
    <row r="19" spans="1:21" ht="19.5" x14ac:dyDescent="0.3">
      <c r="A19" s="23"/>
      <c r="B19" s="24"/>
      <c r="C19" s="122" t="s">
        <v>18</v>
      </c>
      <c r="D19" s="26" t="s">
        <v>19</v>
      </c>
      <c r="E19" s="24"/>
      <c r="F19" s="24"/>
      <c r="G19" s="27"/>
      <c r="H19" s="28" t="s">
        <v>14</v>
      </c>
      <c r="I19" s="29"/>
      <c r="J19" s="29"/>
      <c r="K19" s="30"/>
      <c r="L19" s="473">
        <f t="shared" ref="L19:N19" ca="1" si="0">L20+L21</f>
        <v>1752295</v>
      </c>
      <c r="M19" s="474">
        <f t="shared" ca="1" si="0"/>
        <v>1872040</v>
      </c>
      <c r="N19" s="474">
        <f t="shared" ca="1" si="0"/>
        <v>1095833.77</v>
      </c>
      <c r="O19" s="474">
        <f t="shared" ref="O19:O27" ca="1" si="1">IF(L19&gt;0,N19*100/L19,0)</f>
        <v>62.537059684585074</v>
      </c>
      <c r="P19" s="474">
        <f t="shared" ref="P19:P27" ca="1" si="2">IF(M19&gt;0,N19*100/M19,0)</f>
        <v>58.536877951325827</v>
      </c>
      <c r="Q19" s="474">
        <f t="shared" ref="Q19:S19" ca="1" si="3">Q20+Q21</f>
        <v>1654261.3900000001</v>
      </c>
      <c r="R19" s="474">
        <f t="shared" ca="1" si="3"/>
        <v>1466761</v>
      </c>
      <c r="S19" s="474">
        <f t="shared" ca="1" si="3"/>
        <v>47140</v>
      </c>
      <c r="T19" s="474">
        <f t="shared" ref="T19:T27" ca="1" si="4">IF(Q19&gt;0,S19*100/Q19,0)</f>
        <v>2.8496101211671268</v>
      </c>
      <c r="U19" s="474">
        <f t="shared" ref="U19:U27" ca="1" si="5">IF(R19&gt;0,S19*100/R19,0)</f>
        <v>3.2138841979027259</v>
      </c>
    </row>
    <row r="20" spans="1:21" ht="18.75" hidden="1" x14ac:dyDescent="0.25">
      <c r="A20" s="23"/>
      <c r="B20" s="24"/>
      <c r="C20" s="24"/>
      <c r="D20" s="24"/>
      <c r="E20" s="475" t="s">
        <v>20</v>
      </c>
      <c r="F20" s="24"/>
      <c r="G20" s="27"/>
      <c r="H20" s="476" t="s">
        <v>14</v>
      </c>
      <c r="I20" s="29"/>
      <c r="J20" s="29"/>
      <c r="K20" s="30"/>
      <c r="L20" s="477">
        <f t="shared" ref="L20:N21" si="6">L23+L26</f>
        <v>0</v>
      </c>
      <c r="M20" s="478">
        <f t="shared" si="6"/>
        <v>0</v>
      </c>
      <c r="N20" s="478">
        <f t="shared" si="6"/>
        <v>0</v>
      </c>
      <c r="O20" s="478">
        <f t="shared" si="1"/>
        <v>0</v>
      </c>
      <c r="P20" s="478">
        <f t="shared" si="2"/>
        <v>0</v>
      </c>
      <c r="Q20" s="478">
        <f t="shared" ref="Q20:S21" si="7">Q23+Q26</f>
        <v>0</v>
      </c>
      <c r="R20" s="478">
        <f t="shared" si="7"/>
        <v>0</v>
      </c>
      <c r="S20" s="478">
        <f t="shared" si="7"/>
        <v>0</v>
      </c>
      <c r="T20" s="478">
        <f t="shared" si="4"/>
        <v>0</v>
      </c>
      <c r="U20" s="478">
        <f t="shared" si="5"/>
        <v>0</v>
      </c>
    </row>
    <row r="21" spans="1:21" ht="18.75" hidden="1" x14ac:dyDescent="0.25">
      <c r="A21" s="23"/>
      <c r="B21" s="24"/>
      <c r="C21" s="24"/>
      <c r="D21" s="24"/>
      <c r="E21" s="32" t="s">
        <v>21</v>
      </c>
      <c r="F21" s="24"/>
      <c r="G21" s="27"/>
      <c r="H21" s="33" t="s">
        <v>14</v>
      </c>
      <c r="I21" s="29"/>
      <c r="J21" s="29"/>
      <c r="K21" s="30"/>
      <c r="L21" s="479">
        <f t="shared" ca="1" si="6"/>
        <v>1752295</v>
      </c>
      <c r="M21" s="480">
        <f t="shared" ca="1" si="6"/>
        <v>1872040</v>
      </c>
      <c r="N21" s="480">
        <f t="shared" ca="1" si="6"/>
        <v>1095833.77</v>
      </c>
      <c r="O21" s="480">
        <f t="shared" ca="1" si="1"/>
        <v>62.537059684585074</v>
      </c>
      <c r="P21" s="480">
        <f t="shared" ca="1" si="2"/>
        <v>58.536877951325827</v>
      </c>
      <c r="Q21" s="480">
        <f t="shared" ca="1" si="7"/>
        <v>1654261.3900000001</v>
      </c>
      <c r="R21" s="480">
        <f t="shared" ca="1" si="7"/>
        <v>1466761</v>
      </c>
      <c r="S21" s="480">
        <f t="shared" ca="1" si="7"/>
        <v>47140</v>
      </c>
      <c r="T21" s="480">
        <f t="shared" ca="1" si="4"/>
        <v>2.8496101211671268</v>
      </c>
      <c r="U21" s="480">
        <f t="shared" ca="1" si="5"/>
        <v>3.2138841979027259</v>
      </c>
    </row>
    <row r="22" spans="1:21" ht="18.75" x14ac:dyDescent="0.25">
      <c r="A22" s="36"/>
      <c r="B22" s="187"/>
      <c r="C22" s="187"/>
      <c r="D22" s="38" t="s">
        <v>22</v>
      </c>
      <c r="E22" s="187"/>
      <c r="F22" s="187"/>
      <c r="G22" s="39"/>
      <c r="H22" s="40" t="s">
        <v>14</v>
      </c>
      <c r="I22" s="41"/>
      <c r="J22" s="41"/>
      <c r="K22" s="42"/>
      <c r="L22" s="481">
        <f t="shared" ref="L22:N22" ca="1" si="8">L23+L24</f>
        <v>1752295</v>
      </c>
      <c r="M22" s="230">
        <f t="shared" ca="1" si="8"/>
        <v>1872040</v>
      </c>
      <c r="N22" s="230">
        <f t="shared" ca="1" si="8"/>
        <v>1095833.77</v>
      </c>
      <c r="O22" s="230">
        <f t="shared" ca="1" si="1"/>
        <v>62.537059684585074</v>
      </c>
      <c r="P22" s="230">
        <f t="shared" ca="1" si="2"/>
        <v>58.536877951325827</v>
      </c>
      <c r="Q22" s="230">
        <f t="shared" ref="Q22:S22" ca="1" si="9">Q23+Q24</f>
        <v>1654261.3900000001</v>
      </c>
      <c r="R22" s="230">
        <f t="shared" ca="1" si="9"/>
        <v>1466761</v>
      </c>
      <c r="S22" s="230">
        <f t="shared" ca="1" si="9"/>
        <v>47140</v>
      </c>
      <c r="T22" s="230">
        <f t="shared" ca="1" si="4"/>
        <v>2.8496101211671268</v>
      </c>
      <c r="U22" s="230">
        <f t="shared" ca="1" si="5"/>
        <v>3.2138841979027259</v>
      </c>
    </row>
    <row r="23" spans="1:21" ht="18.75" hidden="1" x14ac:dyDescent="0.25">
      <c r="A23" s="36"/>
      <c r="B23" s="187"/>
      <c r="C23" s="187"/>
      <c r="D23" s="187"/>
      <c r="E23" s="154" t="s">
        <v>20</v>
      </c>
      <c r="F23" s="187"/>
      <c r="G23" s="39"/>
      <c r="H23" s="482" t="s">
        <v>14</v>
      </c>
      <c r="I23" s="41"/>
      <c r="J23" s="41"/>
      <c r="K23" s="42"/>
      <c r="L23" s="483">
        <f t="shared" ref="L23:N24" si="10">L49+L64+L77+L99+L130+L144+L162+L191+L178+L271+L287+L308+L325+L338+L361+L518</f>
        <v>0</v>
      </c>
      <c r="M23" s="80">
        <f t="shared" si="10"/>
        <v>0</v>
      </c>
      <c r="N23" s="80">
        <f t="shared" si="10"/>
        <v>0</v>
      </c>
      <c r="O23" s="80">
        <f t="shared" si="1"/>
        <v>0</v>
      </c>
      <c r="P23" s="80">
        <f t="shared" si="2"/>
        <v>0</v>
      </c>
      <c r="Q23" s="80">
        <f t="shared" ref="Q23:S24" si="11">Q77+Q99+Q122+Q144+Q162+Q178+Q191+Q271+Q287+Q308+Q338+Q380+Q397+Q418+Q498+Q604+Q621+Q647+Q695+Q719+Q733+Q764</f>
        <v>0</v>
      </c>
      <c r="R23" s="80">
        <f t="shared" si="11"/>
        <v>0</v>
      </c>
      <c r="S23" s="80">
        <f t="shared" si="11"/>
        <v>0</v>
      </c>
      <c r="T23" s="80">
        <f t="shared" si="4"/>
        <v>0</v>
      </c>
      <c r="U23" s="80">
        <f t="shared" si="5"/>
        <v>0</v>
      </c>
    </row>
    <row r="24" spans="1:21" ht="18.75" hidden="1" x14ac:dyDescent="0.25">
      <c r="A24" s="36"/>
      <c r="B24" s="187"/>
      <c r="C24" s="187"/>
      <c r="D24" s="187"/>
      <c r="E24" s="254" t="s">
        <v>21</v>
      </c>
      <c r="F24" s="187"/>
      <c r="G24" s="39"/>
      <c r="H24" s="40" t="s">
        <v>14</v>
      </c>
      <c r="I24" s="41"/>
      <c r="J24" s="41"/>
      <c r="K24" s="42"/>
      <c r="L24" s="481">
        <f t="shared" ca="1" si="10"/>
        <v>1752295</v>
      </c>
      <c r="M24" s="230">
        <f t="shared" ca="1" si="10"/>
        <v>1872040</v>
      </c>
      <c r="N24" s="230">
        <f t="shared" ca="1" si="10"/>
        <v>1095833.77</v>
      </c>
      <c r="O24" s="230">
        <f t="shared" ca="1" si="1"/>
        <v>62.537059684585074</v>
      </c>
      <c r="P24" s="230">
        <f t="shared" ca="1" si="2"/>
        <v>58.536877951325827</v>
      </c>
      <c r="Q24" s="230">
        <f t="shared" ca="1" si="11"/>
        <v>1654261.3900000001</v>
      </c>
      <c r="R24" s="230">
        <f t="shared" ca="1" si="11"/>
        <v>1466761</v>
      </c>
      <c r="S24" s="230">
        <f t="shared" ca="1" si="11"/>
        <v>47140</v>
      </c>
      <c r="T24" s="230">
        <f t="shared" ca="1" si="4"/>
        <v>2.8496101211671268</v>
      </c>
      <c r="U24" s="230">
        <f t="shared" ca="1" si="5"/>
        <v>3.2138841979027259</v>
      </c>
    </row>
    <row r="25" spans="1:21" ht="18.75" x14ac:dyDescent="0.25">
      <c r="A25" s="36"/>
      <c r="B25" s="187"/>
      <c r="C25" s="187"/>
      <c r="D25" s="38" t="s">
        <v>23</v>
      </c>
      <c r="E25" s="187"/>
      <c r="F25" s="187"/>
      <c r="G25" s="39"/>
      <c r="H25" s="40" t="s">
        <v>14</v>
      </c>
      <c r="I25" s="41"/>
      <c r="J25" s="41"/>
      <c r="K25" s="42"/>
      <c r="L25" s="481">
        <f t="shared" ref="L25:N25" ca="1" si="12">L26+L27</f>
        <v>0</v>
      </c>
      <c r="M25" s="230">
        <f t="shared" ca="1" si="12"/>
        <v>0</v>
      </c>
      <c r="N25" s="230">
        <f t="shared" ca="1" si="12"/>
        <v>0</v>
      </c>
      <c r="O25" s="230">
        <f t="shared" ca="1" si="1"/>
        <v>0</v>
      </c>
      <c r="P25" s="230">
        <f t="shared" ca="1" si="2"/>
        <v>0</v>
      </c>
      <c r="Q25" s="230">
        <f t="shared" ref="Q25:S25" si="13">Q26+Q27</f>
        <v>0</v>
      </c>
      <c r="R25" s="230">
        <f t="shared" si="13"/>
        <v>0</v>
      </c>
      <c r="S25" s="230">
        <f t="shared" si="13"/>
        <v>0</v>
      </c>
      <c r="T25" s="230">
        <f t="shared" si="4"/>
        <v>0</v>
      </c>
      <c r="U25" s="230">
        <f t="shared" si="5"/>
        <v>0</v>
      </c>
    </row>
    <row r="26" spans="1:21" ht="18.75" hidden="1" x14ac:dyDescent="0.25">
      <c r="A26" s="36"/>
      <c r="B26" s="187"/>
      <c r="C26" s="187"/>
      <c r="D26" s="187"/>
      <c r="E26" s="154" t="s">
        <v>20</v>
      </c>
      <c r="F26" s="187"/>
      <c r="G26" s="39"/>
      <c r="H26" s="482" t="s">
        <v>14</v>
      </c>
      <c r="I26" s="41"/>
      <c r="J26" s="41"/>
      <c r="K26" s="42"/>
      <c r="L26" s="483">
        <f t="shared" ref="L26:N27" si="14">L52+L67+L80+L102+L133+L147+L165+L194+L181+L274+L290+L311+L328+L341+L364+L521</f>
        <v>0</v>
      </c>
      <c r="M26" s="80">
        <f t="shared" si="14"/>
        <v>0</v>
      </c>
      <c r="N26" s="80">
        <f t="shared" si="14"/>
        <v>0</v>
      </c>
      <c r="O26" s="80">
        <f t="shared" si="1"/>
        <v>0</v>
      </c>
      <c r="P26" s="80">
        <f t="shared" si="2"/>
        <v>0</v>
      </c>
      <c r="Q26" s="80">
        <f t="shared" ref="Q26:S27" si="15">Q80+Q102+Q125+Q147+Q165+Q181+Q194+Q274+Q290+Q311+Q341+Q383+Q400+Q421+Q501+Q607+Q624+Q650+Q698+Q722+Q736+Q767</f>
        <v>0</v>
      </c>
      <c r="R26" s="80">
        <f t="shared" si="15"/>
        <v>0</v>
      </c>
      <c r="S26" s="80">
        <f t="shared" si="15"/>
        <v>0</v>
      </c>
      <c r="T26" s="80">
        <f t="shared" si="4"/>
        <v>0</v>
      </c>
      <c r="U26" s="80">
        <f t="shared" si="5"/>
        <v>0</v>
      </c>
    </row>
    <row r="27" spans="1:21" ht="18.75" hidden="1" x14ac:dyDescent="0.25">
      <c r="A27" s="36"/>
      <c r="B27" s="187"/>
      <c r="C27" s="187"/>
      <c r="D27" s="187"/>
      <c r="E27" s="254" t="s">
        <v>21</v>
      </c>
      <c r="F27" s="187"/>
      <c r="G27" s="39"/>
      <c r="H27" s="40" t="s">
        <v>14</v>
      </c>
      <c r="I27" s="41"/>
      <c r="J27" s="41"/>
      <c r="K27" s="42"/>
      <c r="L27" s="481">
        <f t="shared" ca="1" si="14"/>
        <v>0</v>
      </c>
      <c r="M27" s="230">
        <f t="shared" ca="1" si="14"/>
        <v>0</v>
      </c>
      <c r="N27" s="230">
        <f t="shared" ca="1" si="14"/>
        <v>0</v>
      </c>
      <c r="O27" s="230">
        <f t="shared" ca="1" si="1"/>
        <v>0</v>
      </c>
      <c r="P27" s="230">
        <f t="shared" ca="1" si="2"/>
        <v>0</v>
      </c>
      <c r="Q27" s="80">
        <f t="shared" si="15"/>
        <v>0</v>
      </c>
      <c r="R27" s="80">
        <f t="shared" si="15"/>
        <v>0</v>
      </c>
      <c r="S27" s="80">
        <f t="shared" si="15"/>
        <v>0</v>
      </c>
      <c r="T27" s="230">
        <f t="shared" si="4"/>
        <v>0</v>
      </c>
      <c r="U27" s="230">
        <f t="shared" si="5"/>
        <v>0</v>
      </c>
    </row>
    <row r="28" spans="1:21" ht="18.75" x14ac:dyDescent="0.25">
      <c r="A28" s="36"/>
      <c r="B28" s="187"/>
      <c r="C28" s="187"/>
      <c r="D28" s="38" t="s">
        <v>24</v>
      </c>
      <c r="E28" s="187"/>
      <c r="F28" s="187"/>
      <c r="G28" s="39"/>
      <c r="H28" s="40" t="s">
        <v>14</v>
      </c>
      <c r="I28" s="41"/>
      <c r="J28" s="41"/>
      <c r="K28" s="42"/>
      <c r="L28" s="484"/>
      <c r="M28" s="42"/>
      <c r="N28" s="42"/>
      <c r="O28" s="42"/>
      <c r="P28" s="42"/>
      <c r="Q28" s="42"/>
      <c r="R28" s="42"/>
      <c r="S28" s="42"/>
      <c r="T28" s="42"/>
      <c r="U28" s="42"/>
    </row>
    <row r="29" spans="1:21" ht="18.75" hidden="1" x14ac:dyDescent="0.25">
      <c r="A29" s="36"/>
      <c r="B29" s="187"/>
      <c r="C29" s="187"/>
      <c r="D29" s="187"/>
      <c r="E29" s="154" t="s">
        <v>20</v>
      </c>
      <c r="F29" s="187"/>
      <c r="G29" s="39"/>
      <c r="H29" s="482" t="s">
        <v>14</v>
      </c>
      <c r="I29" s="41"/>
      <c r="J29" s="41"/>
      <c r="K29" s="42"/>
      <c r="L29" s="484"/>
      <c r="M29" s="42"/>
      <c r="N29" s="42"/>
      <c r="O29" s="42"/>
      <c r="P29" s="42"/>
      <c r="Q29" s="42"/>
      <c r="R29" s="42"/>
      <c r="S29" s="42"/>
      <c r="T29" s="42"/>
      <c r="U29" s="42"/>
    </row>
    <row r="30" spans="1:21" ht="18.75" hidden="1" x14ac:dyDescent="0.25">
      <c r="A30" s="47"/>
      <c r="B30" s="5"/>
      <c r="C30" s="5"/>
      <c r="D30" s="5"/>
      <c r="E30" s="191" t="s">
        <v>21</v>
      </c>
      <c r="F30" s="5"/>
      <c r="G30" s="49"/>
      <c r="H30" s="50" t="s">
        <v>14</v>
      </c>
      <c r="I30" s="51"/>
      <c r="J30" s="51"/>
      <c r="K30" s="7"/>
      <c r="L30" s="485"/>
      <c r="M30" s="7"/>
      <c r="N30" s="7"/>
      <c r="O30" s="7"/>
      <c r="P30" s="7"/>
      <c r="Q30" s="7"/>
      <c r="R30" s="7"/>
      <c r="S30" s="7"/>
      <c r="T30" s="7"/>
      <c r="U30" s="7"/>
    </row>
    <row r="31" spans="1:21" ht="12.75" hidden="1" x14ac:dyDescent="0.2">
      <c r="A31" s="832"/>
      <c r="B31" s="803"/>
      <c r="C31" s="803"/>
      <c r="D31" s="803"/>
      <c r="E31" s="803"/>
      <c r="F31" s="803"/>
      <c r="G31" s="804"/>
      <c r="H31" s="11"/>
      <c r="I31" s="12"/>
      <c r="J31" s="12"/>
      <c r="K31" s="13"/>
      <c r="L31" s="470"/>
      <c r="M31" s="13"/>
      <c r="N31" s="13"/>
      <c r="O31" s="13"/>
      <c r="P31" s="13"/>
      <c r="Q31" s="13"/>
      <c r="R31" s="13"/>
      <c r="S31" s="13"/>
      <c r="T31" s="13"/>
      <c r="U31" s="13"/>
    </row>
    <row r="32" spans="1:21" ht="12.75" hidden="1" x14ac:dyDescent="0.2">
      <c r="A32" s="14"/>
      <c r="B32" s="15"/>
      <c r="C32" s="15"/>
      <c r="D32" s="15"/>
      <c r="E32" s="15"/>
      <c r="F32" s="15"/>
      <c r="G32" s="16"/>
      <c r="H32" s="16"/>
      <c r="I32" s="17"/>
      <c r="J32" s="17"/>
      <c r="K32" s="18"/>
      <c r="L32" s="471"/>
      <c r="M32" s="18"/>
      <c r="N32" s="18"/>
      <c r="O32" s="18"/>
      <c r="P32" s="18"/>
      <c r="Q32" s="18"/>
      <c r="R32" s="18"/>
      <c r="S32" s="18"/>
      <c r="T32" s="18"/>
      <c r="U32" s="18"/>
    </row>
    <row r="33" spans="1:21" ht="12.75" hidden="1" x14ac:dyDescent="0.2">
      <c r="A33" s="14"/>
      <c r="B33" s="15"/>
      <c r="C33" s="15"/>
      <c r="D33" s="15"/>
      <c r="E33" s="15"/>
      <c r="F33" s="15"/>
      <c r="G33" s="16"/>
      <c r="H33" s="16"/>
      <c r="I33" s="17"/>
      <c r="J33" s="17"/>
      <c r="K33" s="18"/>
      <c r="L33" s="471"/>
      <c r="M33" s="18"/>
      <c r="N33" s="18"/>
      <c r="O33" s="18"/>
      <c r="P33" s="18"/>
      <c r="Q33" s="18"/>
      <c r="R33" s="18"/>
      <c r="S33" s="18"/>
      <c r="T33" s="18"/>
      <c r="U33" s="18"/>
    </row>
    <row r="34" spans="1:21" ht="12.75" hidden="1" x14ac:dyDescent="0.2">
      <c r="A34" s="14"/>
      <c r="B34" s="15"/>
      <c r="C34" s="15"/>
      <c r="D34" s="15"/>
      <c r="E34" s="15"/>
      <c r="F34" s="15"/>
      <c r="G34" s="16"/>
      <c r="H34" s="16"/>
      <c r="I34" s="17"/>
      <c r="J34" s="17"/>
      <c r="K34" s="18"/>
      <c r="L34" s="471"/>
      <c r="M34" s="18"/>
      <c r="N34" s="18"/>
      <c r="O34" s="18"/>
      <c r="P34" s="18"/>
      <c r="Q34" s="18"/>
      <c r="R34" s="18"/>
      <c r="S34" s="18"/>
      <c r="T34" s="18"/>
      <c r="U34" s="18"/>
    </row>
    <row r="35" spans="1:21" ht="12.75" hidden="1" x14ac:dyDescent="0.2">
      <c r="A35" s="14"/>
      <c r="B35" s="15"/>
      <c r="C35" s="15"/>
      <c r="D35" s="15"/>
      <c r="E35" s="15"/>
      <c r="F35" s="15"/>
      <c r="G35" s="16"/>
      <c r="H35" s="16"/>
      <c r="I35" s="17"/>
      <c r="J35" s="17"/>
      <c r="K35" s="18"/>
      <c r="L35" s="471"/>
      <c r="M35" s="18"/>
      <c r="N35" s="18"/>
      <c r="O35" s="18"/>
      <c r="P35" s="18"/>
      <c r="Q35" s="18"/>
      <c r="R35" s="18"/>
      <c r="S35" s="18"/>
      <c r="T35" s="18"/>
      <c r="U35" s="18"/>
    </row>
    <row r="36" spans="1:21" ht="12.75" hidden="1" x14ac:dyDescent="0.2">
      <c r="A36" s="14"/>
      <c r="B36" s="15"/>
      <c r="C36" s="15"/>
      <c r="D36" s="15"/>
      <c r="E36" s="15"/>
      <c r="F36" s="15"/>
      <c r="G36" s="16"/>
      <c r="H36" s="16"/>
      <c r="I36" s="17"/>
      <c r="J36" s="17"/>
      <c r="K36" s="18"/>
      <c r="L36" s="471"/>
      <c r="M36" s="18"/>
      <c r="N36" s="18"/>
      <c r="O36" s="18"/>
      <c r="P36" s="18"/>
      <c r="Q36" s="18"/>
      <c r="R36" s="18"/>
      <c r="S36" s="18"/>
      <c r="T36" s="18"/>
      <c r="U36" s="18"/>
    </row>
    <row r="37" spans="1:21" ht="12.75" hidden="1" x14ac:dyDescent="0.2">
      <c r="A37" s="14"/>
      <c r="B37" s="15"/>
      <c r="C37" s="15"/>
      <c r="D37" s="15"/>
      <c r="E37" s="15"/>
      <c r="F37" s="15"/>
      <c r="G37" s="16"/>
      <c r="H37" s="16"/>
      <c r="I37" s="17"/>
      <c r="J37" s="17"/>
      <c r="K37" s="18"/>
      <c r="L37" s="471"/>
      <c r="M37" s="18"/>
      <c r="N37" s="18"/>
      <c r="O37" s="18"/>
      <c r="P37" s="18"/>
      <c r="Q37" s="18"/>
      <c r="R37" s="18"/>
      <c r="S37" s="18"/>
      <c r="T37" s="18"/>
      <c r="U37" s="18"/>
    </row>
    <row r="38" spans="1:21" ht="12.75" hidden="1" x14ac:dyDescent="0.2">
      <c r="A38" s="14"/>
      <c r="B38" s="15"/>
      <c r="C38" s="15"/>
      <c r="D38" s="15"/>
      <c r="E38" s="15"/>
      <c r="F38" s="15"/>
      <c r="G38" s="16"/>
      <c r="H38" s="16"/>
      <c r="I38" s="17"/>
      <c r="J38" s="17"/>
      <c r="K38" s="18"/>
      <c r="L38" s="471"/>
      <c r="M38" s="18"/>
      <c r="N38" s="18"/>
      <c r="O38" s="18"/>
      <c r="P38" s="18"/>
      <c r="Q38" s="18"/>
      <c r="R38" s="18"/>
      <c r="S38" s="18"/>
      <c r="T38" s="18"/>
      <c r="U38" s="18"/>
    </row>
    <row r="39" spans="1:21" ht="12.75" hidden="1" x14ac:dyDescent="0.2">
      <c r="A39" s="14"/>
      <c r="B39" s="15"/>
      <c r="C39" s="15"/>
      <c r="D39" s="15"/>
      <c r="E39" s="15"/>
      <c r="F39" s="15"/>
      <c r="G39" s="16"/>
      <c r="H39" s="16"/>
      <c r="I39" s="17"/>
      <c r="J39" s="17"/>
      <c r="K39" s="18"/>
      <c r="L39" s="471"/>
      <c r="M39" s="18"/>
      <c r="N39" s="18"/>
      <c r="O39" s="18"/>
      <c r="P39" s="18"/>
      <c r="Q39" s="18"/>
      <c r="R39" s="18"/>
      <c r="S39" s="18"/>
      <c r="T39" s="18"/>
      <c r="U39" s="18"/>
    </row>
    <row r="40" spans="1:21" ht="12.75" hidden="1" x14ac:dyDescent="0.2">
      <c r="A40" s="10"/>
      <c r="B40" s="19"/>
      <c r="C40" s="19"/>
      <c r="D40" s="19"/>
      <c r="E40" s="19"/>
      <c r="F40" s="19"/>
      <c r="G40" s="11"/>
      <c r="H40" s="11"/>
      <c r="I40" s="12"/>
      <c r="J40" s="12"/>
      <c r="K40" s="13"/>
      <c r="L40" s="470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9.5" hidden="1" x14ac:dyDescent="0.3">
      <c r="A41" s="52" t="s">
        <v>25</v>
      </c>
      <c r="B41" s="53"/>
      <c r="C41" s="53"/>
      <c r="D41" s="53"/>
      <c r="E41" s="53"/>
      <c r="F41" s="53"/>
      <c r="G41" s="54"/>
      <c r="H41" s="54"/>
      <c r="I41" s="55"/>
      <c r="J41" s="55"/>
      <c r="K41" s="56"/>
      <c r="L41" s="486">
        <f t="shared" ref="L41:N41" ca="1" si="16">L45+L60+L73+L95+L126+L140+L158+L174+L187+L267+L283+L304+L321+L334+L357</f>
        <v>1752295</v>
      </c>
      <c r="M41" s="487">
        <f t="shared" ca="1" si="16"/>
        <v>1872040</v>
      </c>
      <c r="N41" s="487">
        <f t="shared" ca="1" si="16"/>
        <v>1095833.77</v>
      </c>
      <c r="O41" s="487">
        <f ca="1">IF(L41&gt;0,N41*100/L41,0)</f>
        <v>62.537059684585074</v>
      </c>
      <c r="P41" s="487">
        <f ca="1">IF(M41&gt;0,N41*100/M41,0)</f>
        <v>58.536877951325827</v>
      </c>
      <c r="Q41" s="56"/>
      <c r="R41" s="56"/>
      <c r="S41" s="56"/>
      <c r="T41" s="56"/>
      <c r="U41" s="56"/>
    </row>
    <row r="42" spans="1:21" ht="19.5" x14ac:dyDescent="0.3">
      <c r="A42" s="57" t="s">
        <v>26</v>
      </c>
      <c r="B42" s="58"/>
      <c r="C42" s="58"/>
      <c r="D42" s="58"/>
      <c r="E42" s="58"/>
      <c r="F42" s="58"/>
      <c r="G42" s="58"/>
      <c r="H42" s="58"/>
      <c r="I42" s="59"/>
      <c r="J42" s="59"/>
      <c r="K42" s="60"/>
      <c r="L42" s="60"/>
      <c r="M42" s="60"/>
      <c r="N42" s="60"/>
      <c r="O42" s="60"/>
      <c r="P42" s="61"/>
      <c r="Q42" s="60"/>
      <c r="R42" s="60"/>
      <c r="S42" s="60"/>
      <c r="T42" s="60"/>
      <c r="U42" s="61"/>
    </row>
    <row r="43" spans="1:21" ht="19.5" x14ac:dyDescent="0.3">
      <c r="A43" s="62"/>
      <c r="B43" s="63" t="s">
        <v>27</v>
      </c>
      <c r="C43" s="62"/>
      <c r="D43" s="62"/>
      <c r="E43" s="62"/>
      <c r="F43" s="62"/>
      <c r="G43" s="64"/>
      <c r="H43" s="64"/>
      <c r="I43" s="65"/>
      <c r="J43" s="65"/>
      <c r="K43" s="66"/>
      <c r="L43" s="488"/>
      <c r="M43" s="66"/>
      <c r="N43" s="66"/>
      <c r="O43" s="66"/>
      <c r="P43" s="66"/>
      <c r="Q43" s="66"/>
      <c r="R43" s="66"/>
      <c r="S43" s="66"/>
      <c r="T43" s="66"/>
      <c r="U43" s="66"/>
    </row>
    <row r="44" spans="1:21" ht="12.75" hidden="1" x14ac:dyDescent="0.2">
      <c r="A44" s="14"/>
      <c r="B44" s="15"/>
      <c r="C44" s="15"/>
      <c r="D44" s="15"/>
      <c r="E44" s="15"/>
      <c r="F44" s="15"/>
      <c r="G44" s="16"/>
      <c r="H44" s="16"/>
      <c r="I44" s="17"/>
      <c r="J44" s="17"/>
      <c r="K44" s="18"/>
      <c r="L44" s="471"/>
      <c r="M44" s="18"/>
      <c r="N44" s="18"/>
      <c r="O44" s="18"/>
      <c r="P44" s="18"/>
      <c r="Q44" s="18"/>
      <c r="R44" s="18"/>
      <c r="S44" s="18"/>
      <c r="T44" s="18"/>
      <c r="U44" s="18"/>
    </row>
    <row r="45" spans="1:21" ht="19.5" x14ac:dyDescent="0.3">
      <c r="A45" s="67"/>
      <c r="B45" s="68"/>
      <c r="C45" s="69" t="s">
        <v>18</v>
      </c>
      <c r="D45" s="489" t="s">
        <v>19</v>
      </c>
      <c r="E45" s="68"/>
      <c r="F45" s="68"/>
      <c r="G45" s="71"/>
      <c r="H45" s="72" t="s">
        <v>14</v>
      </c>
      <c r="I45" s="73"/>
      <c r="J45" s="73"/>
      <c r="K45" s="74"/>
      <c r="L45" s="490">
        <f t="shared" ref="L45:N45" ca="1" si="17">L46+L47</f>
        <v>380550</v>
      </c>
      <c r="M45" s="491">
        <f t="shared" ca="1" si="17"/>
        <v>386240</v>
      </c>
      <c r="N45" s="491">
        <f t="shared" ca="1" si="17"/>
        <v>265877</v>
      </c>
      <c r="O45" s="491">
        <f t="shared" ref="O45:O53" ca="1" si="18">IF(L45&gt;0,N45*100/L45,0)</f>
        <v>69.866509000131387</v>
      </c>
      <c r="P45" s="491">
        <f t="shared" ref="P45:P53" ca="1" si="19">IF(M45&gt;0,N45*100/M45,0)</f>
        <v>68.837251449875723</v>
      </c>
      <c r="Q45" s="491">
        <f t="shared" ref="Q45:S45" si="20">Q46+Q47</f>
        <v>0</v>
      </c>
      <c r="R45" s="491">
        <f t="shared" si="20"/>
        <v>0</v>
      </c>
      <c r="S45" s="491">
        <f t="shared" si="20"/>
        <v>0</v>
      </c>
      <c r="T45" s="491">
        <f t="shared" ref="T45:T53" si="21">IF(Q45&gt;0,S45*100/Q45,0)</f>
        <v>0</v>
      </c>
      <c r="U45" s="491">
        <f t="shared" ref="U45:U53" si="22">IF(R45&gt;0,S45*100/R45,0)</f>
        <v>0</v>
      </c>
    </row>
    <row r="46" spans="1:21" ht="18.75" hidden="1" x14ac:dyDescent="0.25">
      <c r="A46" s="67"/>
      <c r="B46" s="68"/>
      <c r="C46" s="68"/>
      <c r="D46" s="68"/>
      <c r="E46" s="492" t="s">
        <v>20</v>
      </c>
      <c r="F46" s="68"/>
      <c r="G46" s="71"/>
      <c r="H46" s="493" t="s">
        <v>14</v>
      </c>
      <c r="I46" s="73"/>
      <c r="J46" s="73"/>
      <c r="K46" s="74"/>
      <c r="L46" s="494">
        <f t="shared" ref="L46:N47" si="23">L49+L52</f>
        <v>0</v>
      </c>
      <c r="M46" s="495">
        <f t="shared" si="23"/>
        <v>0</v>
      </c>
      <c r="N46" s="495">
        <f t="shared" si="23"/>
        <v>0</v>
      </c>
      <c r="O46" s="495">
        <f t="shared" si="18"/>
        <v>0</v>
      </c>
      <c r="P46" s="495">
        <f t="shared" si="19"/>
        <v>0</v>
      </c>
      <c r="Q46" s="495">
        <f t="shared" ref="Q46:S47" si="24">Q49+Q52</f>
        <v>0</v>
      </c>
      <c r="R46" s="495">
        <f t="shared" si="24"/>
        <v>0</v>
      </c>
      <c r="S46" s="495">
        <f t="shared" si="24"/>
        <v>0</v>
      </c>
      <c r="T46" s="495">
        <f t="shared" si="21"/>
        <v>0</v>
      </c>
      <c r="U46" s="495">
        <f t="shared" si="22"/>
        <v>0</v>
      </c>
    </row>
    <row r="47" spans="1:21" ht="18.75" hidden="1" x14ac:dyDescent="0.25">
      <c r="A47" s="67"/>
      <c r="B47" s="68"/>
      <c r="C47" s="68"/>
      <c r="D47" s="68"/>
      <c r="E47" s="76" t="s">
        <v>21</v>
      </c>
      <c r="F47" s="68"/>
      <c r="G47" s="71"/>
      <c r="H47" s="77" t="s">
        <v>14</v>
      </c>
      <c r="I47" s="73"/>
      <c r="J47" s="73"/>
      <c r="K47" s="74"/>
      <c r="L47" s="496">
        <f t="shared" ca="1" si="23"/>
        <v>380550</v>
      </c>
      <c r="M47" s="497">
        <f t="shared" ca="1" si="23"/>
        <v>386240</v>
      </c>
      <c r="N47" s="497">
        <f t="shared" ca="1" si="23"/>
        <v>265877</v>
      </c>
      <c r="O47" s="497">
        <f t="shared" ca="1" si="18"/>
        <v>69.866509000131387</v>
      </c>
      <c r="P47" s="497">
        <f t="shared" ca="1" si="19"/>
        <v>68.837251449875723</v>
      </c>
      <c r="Q47" s="497">
        <f t="shared" si="24"/>
        <v>0</v>
      </c>
      <c r="R47" s="497">
        <f t="shared" si="24"/>
        <v>0</v>
      </c>
      <c r="S47" s="497">
        <f t="shared" si="24"/>
        <v>0</v>
      </c>
      <c r="T47" s="497">
        <f t="shared" si="21"/>
        <v>0</v>
      </c>
      <c r="U47" s="497">
        <f t="shared" si="22"/>
        <v>0</v>
      </c>
    </row>
    <row r="48" spans="1:21" ht="18.75" x14ac:dyDescent="0.25">
      <c r="A48" s="36"/>
      <c r="B48" s="187"/>
      <c r="C48" s="187"/>
      <c r="D48" s="38" t="s">
        <v>22</v>
      </c>
      <c r="E48" s="187"/>
      <c r="F48" s="187"/>
      <c r="G48" s="39"/>
      <c r="H48" s="40" t="s">
        <v>14</v>
      </c>
      <c r="I48" s="41"/>
      <c r="J48" s="41"/>
      <c r="K48" s="42"/>
      <c r="L48" s="481">
        <f t="shared" ref="L48:N48" ca="1" si="25">L49+L50</f>
        <v>380550</v>
      </c>
      <c r="M48" s="230">
        <f t="shared" ca="1" si="25"/>
        <v>386240</v>
      </c>
      <c r="N48" s="230">
        <f t="shared" ca="1" si="25"/>
        <v>265877</v>
      </c>
      <c r="O48" s="230">
        <f t="shared" ca="1" si="18"/>
        <v>69.866509000131387</v>
      </c>
      <c r="P48" s="230">
        <f t="shared" ca="1" si="19"/>
        <v>68.837251449875723</v>
      </c>
      <c r="Q48" s="230">
        <f t="shared" ref="Q48:S48" si="26">Q49+Q50</f>
        <v>0</v>
      </c>
      <c r="R48" s="230">
        <f t="shared" si="26"/>
        <v>0</v>
      </c>
      <c r="S48" s="230">
        <f t="shared" si="26"/>
        <v>0</v>
      </c>
      <c r="T48" s="230">
        <f t="shared" si="21"/>
        <v>0</v>
      </c>
      <c r="U48" s="230">
        <f t="shared" si="22"/>
        <v>0</v>
      </c>
    </row>
    <row r="49" spans="1:21" ht="18.75" hidden="1" x14ac:dyDescent="0.25">
      <c r="A49" s="36"/>
      <c r="B49" s="187"/>
      <c r="C49" s="187"/>
      <c r="D49" s="187"/>
      <c r="E49" s="154" t="s">
        <v>20</v>
      </c>
      <c r="F49" s="187"/>
      <c r="G49" s="39"/>
      <c r="H49" s="482" t="s">
        <v>14</v>
      </c>
      <c r="I49" s="41"/>
      <c r="J49" s="41"/>
      <c r="K49" s="42"/>
      <c r="L49" s="483">
        <v>0</v>
      </c>
      <c r="M49" s="80">
        <v>0</v>
      </c>
      <c r="N49" s="80">
        <v>0</v>
      </c>
      <c r="O49" s="80">
        <f t="shared" si="18"/>
        <v>0</v>
      </c>
      <c r="P49" s="80">
        <f t="shared" si="19"/>
        <v>0</v>
      </c>
      <c r="Q49" s="80">
        <v>0</v>
      </c>
      <c r="R49" s="80">
        <v>0</v>
      </c>
      <c r="S49" s="80">
        <v>0</v>
      </c>
      <c r="T49" s="80">
        <f t="shared" si="21"/>
        <v>0</v>
      </c>
      <c r="U49" s="80">
        <f t="shared" si="22"/>
        <v>0</v>
      </c>
    </row>
    <row r="50" spans="1:21" ht="18.75" hidden="1" x14ac:dyDescent="0.25">
      <c r="A50" s="36"/>
      <c r="B50" s="187"/>
      <c r="C50" s="187"/>
      <c r="D50" s="187"/>
      <c r="E50" s="254" t="s">
        <v>21</v>
      </c>
      <c r="F50" s="187"/>
      <c r="G50" s="39"/>
      <c r="H50" s="40" t="s">
        <v>14</v>
      </c>
      <c r="I50" s="41"/>
      <c r="J50" s="41"/>
      <c r="K50" s="42"/>
      <c r="L50" s="481">
        <f ca="1">IFERROR(__xludf.DUMMYFUNCTION("IMPORTRANGE(""https://docs.google.com/spreadsheets/d/1-uDff_7J0KD5mKrp0Vvzr7lt3OU09vwQwhkpOPPYv2Y/edit?usp=sharing"",""งบพรบ!P21"")"),380550)</f>
        <v>380550</v>
      </c>
      <c r="M50" s="230">
        <f ca="1">IFERROR(__xludf.DUMMYFUNCTION("IMPORTRANGE(""https://docs.google.com/spreadsheets/d/1-uDff_7J0KD5mKrp0Vvzr7lt3OU09vwQwhkpOPPYv2Y/edit?usp=sharing"",""งบพรบ!V21"")"),386240)</f>
        <v>386240</v>
      </c>
      <c r="N50" s="230">
        <f ca="1">IFERROR(__xludf.DUMMYFUNCTION("IMPORTRANGE(""https://docs.google.com/spreadsheets/d/1-uDff_7J0KD5mKrp0Vvzr7lt3OU09vwQwhkpOPPYv2Y/edit?usp=sharing"",""งบพรบ!Y21"")"),265877)</f>
        <v>265877</v>
      </c>
      <c r="O50" s="230">
        <f t="shared" ca="1" si="18"/>
        <v>69.866509000131387</v>
      </c>
      <c r="P50" s="230">
        <f t="shared" ca="1" si="19"/>
        <v>68.837251449875723</v>
      </c>
      <c r="Q50" s="230">
        <v>0</v>
      </c>
      <c r="R50" s="230">
        <v>0</v>
      </c>
      <c r="S50" s="230">
        <v>0</v>
      </c>
      <c r="T50" s="230">
        <f t="shared" si="21"/>
        <v>0</v>
      </c>
      <c r="U50" s="230">
        <f t="shared" si="22"/>
        <v>0</v>
      </c>
    </row>
    <row r="51" spans="1:21" ht="18.75" x14ac:dyDescent="0.25">
      <c r="A51" s="36"/>
      <c r="B51" s="187"/>
      <c r="C51" s="187"/>
      <c r="D51" s="38" t="s">
        <v>23</v>
      </c>
      <c r="E51" s="187"/>
      <c r="F51" s="187"/>
      <c r="G51" s="39"/>
      <c r="H51" s="40" t="s">
        <v>14</v>
      </c>
      <c r="I51" s="41"/>
      <c r="J51" s="41"/>
      <c r="K51" s="42"/>
      <c r="L51" s="481">
        <f t="shared" ref="L51:N51" ca="1" si="27">L52+L53</f>
        <v>0</v>
      </c>
      <c r="M51" s="230">
        <f t="shared" ca="1" si="27"/>
        <v>0</v>
      </c>
      <c r="N51" s="230">
        <f t="shared" ca="1" si="27"/>
        <v>0</v>
      </c>
      <c r="O51" s="230">
        <f t="shared" ca="1" si="18"/>
        <v>0</v>
      </c>
      <c r="P51" s="230">
        <f t="shared" ca="1" si="19"/>
        <v>0</v>
      </c>
      <c r="Q51" s="230">
        <f t="shared" ref="Q51:S51" si="28">Q52+Q53</f>
        <v>0</v>
      </c>
      <c r="R51" s="230">
        <f t="shared" si="28"/>
        <v>0</v>
      </c>
      <c r="S51" s="230">
        <f t="shared" si="28"/>
        <v>0</v>
      </c>
      <c r="T51" s="230">
        <f t="shared" si="21"/>
        <v>0</v>
      </c>
      <c r="U51" s="230">
        <f t="shared" si="22"/>
        <v>0</v>
      </c>
    </row>
    <row r="52" spans="1:21" ht="18.75" hidden="1" x14ac:dyDescent="0.25">
      <c r="A52" s="36"/>
      <c r="B52" s="187"/>
      <c r="C52" s="187"/>
      <c r="D52" s="187"/>
      <c r="E52" s="154" t="s">
        <v>20</v>
      </c>
      <c r="F52" s="187"/>
      <c r="G52" s="39"/>
      <c r="H52" s="482" t="s">
        <v>14</v>
      </c>
      <c r="I52" s="41"/>
      <c r="J52" s="41"/>
      <c r="K52" s="42"/>
      <c r="L52" s="483">
        <v>0</v>
      </c>
      <c r="M52" s="80">
        <v>0</v>
      </c>
      <c r="N52" s="80">
        <v>0</v>
      </c>
      <c r="O52" s="80">
        <f t="shared" si="18"/>
        <v>0</v>
      </c>
      <c r="P52" s="80">
        <f t="shared" si="19"/>
        <v>0</v>
      </c>
      <c r="Q52" s="80">
        <v>0</v>
      </c>
      <c r="R52" s="80">
        <v>0</v>
      </c>
      <c r="S52" s="80">
        <v>0</v>
      </c>
      <c r="T52" s="80">
        <f t="shared" si="21"/>
        <v>0</v>
      </c>
      <c r="U52" s="80">
        <f t="shared" si="22"/>
        <v>0</v>
      </c>
    </row>
    <row r="53" spans="1:21" ht="18.75" hidden="1" x14ac:dyDescent="0.25">
      <c r="A53" s="36"/>
      <c r="B53" s="187"/>
      <c r="C53" s="187"/>
      <c r="D53" s="187"/>
      <c r="E53" s="254" t="s">
        <v>21</v>
      </c>
      <c r="F53" s="187"/>
      <c r="G53" s="39"/>
      <c r="H53" s="40" t="s">
        <v>14</v>
      </c>
      <c r="I53" s="41"/>
      <c r="J53" s="41"/>
      <c r="K53" s="42"/>
      <c r="L53" s="481">
        <f ca="1">IFERROR(__xludf.DUMMYFUNCTION("IMPORTRANGE(""https://docs.google.com/spreadsheets/d/1-uDff_7J0KD5mKrp0Vvzr7lt3OU09vwQwhkpOPPYv2Y/edit?usp=sharing"",""งบพรบ!S21"")"),0)</f>
        <v>0</v>
      </c>
      <c r="M53" s="230">
        <f ca="1">IFERROR(__xludf.DUMMYFUNCTION("IMPORTRANGE(""https://docs.google.com/spreadsheets/d/1-uDff_7J0KD5mKrp0Vvzr7lt3OU09vwQwhkpOPPYv2Y/edit?usp=sharing"",""งบพรบ!W21"")"),0)</f>
        <v>0</v>
      </c>
      <c r="N53" s="230">
        <f ca="1">IFERROR(__xludf.DUMMYFUNCTION("IMPORTRANGE(""https://docs.google.com/spreadsheets/d/1-uDff_7J0KD5mKrp0Vvzr7lt3OU09vwQwhkpOPPYv2Y/edit?usp=sharing"",""งบพรบ!Z21"")"),0)</f>
        <v>0</v>
      </c>
      <c r="O53" s="230">
        <f t="shared" ca="1" si="18"/>
        <v>0</v>
      </c>
      <c r="P53" s="230">
        <f t="shared" ca="1" si="19"/>
        <v>0</v>
      </c>
      <c r="Q53" s="230">
        <v>0</v>
      </c>
      <c r="R53" s="230">
        <v>0</v>
      </c>
      <c r="S53" s="230">
        <v>0</v>
      </c>
      <c r="T53" s="230">
        <f t="shared" si="21"/>
        <v>0</v>
      </c>
      <c r="U53" s="230">
        <f t="shared" si="22"/>
        <v>0</v>
      </c>
    </row>
    <row r="54" spans="1:21" ht="18.75" x14ac:dyDescent="0.25">
      <c r="A54" s="36"/>
      <c r="B54" s="187"/>
      <c r="C54" s="187"/>
      <c r="D54" s="38" t="s">
        <v>24</v>
      </c>
      <c r="E54" s="187"/>
      <c r="F54" s="187"/>
      <c r="G54" s="39"/>
      <c r="H54" s="40" t="s">
        <v>14</v>
      </c>
      <c r="I54" s="41"/>
      <c r="J54" s="41"/>
      <c r="K54" s="42"/>
      <c r="L54" s="484"/>
      <c r="M54" s="42"/>
      <c r="N54" s="42"/>
      <c r="O54" s="42"/>
      <c r="P54" s="42"/>
      <c r="Q54" s="42"/>
      <c r="R54" s="42"/>
      <c r="S54" s="42"/>
      <c r="T54" s="42"/>
      <c r="U54" s="42"/>
    </row>
    <row r="55" spans="1:21" ht="18.75" hidden="1" x14ac:dyDescent="0.25">
      <c r="A55" s="36"/>
      <c r="B55" s="187"/>
      <c r="C55" s="187"/>
      <c r="D55" s="187"/>
      <c r="E55" s="154" t="s">
        <v>20</v>
      </c>
      <c r="F55" s="187"/>
      <c r="G55" s="39"/>
      <c r="H55" s="482" t="s">
        <v>14</v>
      </c>
      <c r="I55" s="41"/>
      <c r="J55" s="41"/>
      <c r="K55" s="42"/>
      <c r="L55" s="484"/>
      <c r="M55" s="42"/>
      <c r="N55" s="42"/>
      <c r="O55" s="42"/>
      <c r="P55" s="42"/>
      <c r="Q55" s="42"/>
      <c r="R55" s="42"/>
      <c r="S55" s="42"/>
      <c r="T55" s="42"/>
      <c r="U55" s="42"/>
    </row>
    <row r="56" spans="1:21" ht="18.75" hidden="1" x14ac:dyDescent="0.25">
      <c r="A56" s="47"/>
      <c r="B56" s="5"/>
      <c r="C56" s="5"/>
      <c r="D56" s="5"/>
      <c r="E56" s="191" t="s">
        <v>21</v>
      </c>
      <c r="F56" s="5"/>
      <c r="G56" s="49"/>
      <c r="H56" s="50" t="s">
        <v>14</v>
      </c>
      <c r="I56" s="51"/>
      <c r="J56" s="51"/>
      <c r="K56" s="7"/>
      <c r="L56" s="485"/>
      <c r="M56" s="7"/>
      <c r="N56" s="7"/>
      <c r="O56" s="7"/>
      <c r="P56" s="7"/>
      <c r="Q56" s="7"/>
      <c r="R56" s="7"/>
      <c r="S56" s="7"/>
      <c r="T56" s="7"/>
      <c r="U56" s="7"/>
    </row>
    <row r="57" spans="1:21" ht="19.5" x14ac:dyDescent="0.3">
      <c r="A57" s="821" t="s">
        <v>28</v>
      </c>
      <c r="B57" s="803"/>
      <c r="C57" s="803"/>
      <c r="D57" s="803"/>
      <c r="E57" s="803"/>
      <c r="F57" s="803"/>
      <c r="G57" s="804"/>
      <c r="H57" s="81"/>
      <c r="I57" s="82"/>
      <c r="J57" s="82"/>
      <c r="K57" s="83"/>
      <c r="L57" s="83"/>
      <c r="M57" s="83"/>
      <c r="N57" s="83"/>
      <c r="O57" s="83"/>
      <c r="P57" s="84"/>
      <c r="Q57" s="83"/>
      <c r="R57" s="83"/>
      <c r="S57" s="83"/>
      <c r="T57" s="83"/>
      <c r="U57" s="84"/>
    </row>
    <row r="58" spans="1:21" ht="19.5" x14ac:dyDescent="0.3">
      <c r="A58" s="85"/>
      <c r="B58" s="822" t="s">
        <v>29</v>
      </c>
      <c r="C58" s="812"/>
      <c r="D58" s="812"/>
      <c r="E58" s="812"/>
      <c r="F58" s="812"/>
      <c r="G58" s="813"/>
      <c r="H58" s="86"/>
      <c r="I58" s="87"/>
      <c r="J58" s="87"/>
      <c r="K58" s="88"/>
      <c r="L58" s="498"/>
      <c r="M58" s="88"/>
      <c r="N58" s="88"/>
      <c r="O58" s="88"/>
      <c r="P58" s="88"/>
      <c r="Q58" s="88"/>
      <c r="R58" s="88"/>
      <c r="S58" s="88"/>
      <c r="T58" s="88"/>
      <c r="U58" s="88"/>
    </row>
    <row r="59" spans="1:21" ht="19.5" x14ac:dyDescent="0.3">
      <c r="A59" s="89"/>
      <c r="B59" s="90" t="s">
        <v>30</v>
      </c>
      <c r="C59" s="91"/>
      <c r="D59" s="91"/>
      <c r="E59" s="91"/>
      <c r="F59" s="91"/>
      <c r="G59" s="92"/>
      <c r="H59" s="92"/>
      <c r="I59" s="93"/>
      <c r="J59" s="93"/>
      <c r="K59" s="94"/>
      <c r="L59" s="499"/>
      <c r="M59" s="94"/>
      <c r="N59" s="94"/>
      <c r="O59" s="94"/>
      <c r="P59" s="94"/>
      <c r="Q59" s="94"/>
      <c r="R59" s="94"/>
      <c r="S59" s="94"/>
      <c r="T59" s="94"/>
      <c r="U59" s="94"/>
    </row>
    <row r="60" spans="1:21" ht="19.5" x14ac:dyDescent="0.3">
      <c r="A60" s="95"/>
      <c r="B60" s="96"/>
      <c r="C60" s="97" t="s">
        <v>18</v>
      </c>
      <c r="D60" s="500" t="s">
        <v>19</v>
      </c>
      <c r="E60" s="96"/>
      <c r="F60" s="96"/>
      <c r="G60" s="99"/>
      <c r="H60" s="100" t="s">
        <v>14</v>
      </c>
      <c r="I60" s="101"/>
      <c r="J60" s="101"/>
      <c r="K60" s="102"/>
      <c r="L60" s="501">
        <f t="shared" ref="L60:N60" ca="1" si="29">L61+L62</f>
        <v>448300</v>
      </c>
      <c r="M60" s="502">
        <f t="shared" ca="1" si="29"/>
        <v>448300</v>
      </c>
      <c r="N60" s="502">
        <f t="shared" ca="1" si="29"/>
        <v>294455.78999999998</v>
      </c>
      <c r="O60" s="502">
        <f t="shared" ref="O60:O68" ca="1" si="30">IF(L60&gt;0,N60*100/L60,0)</f>
        <v>65.682754851661826</v>
      </c>
      <c r="P60" s="502">
        <f t="shared" ref="P60:P68" ca="1" si="31">IF(M60&gt;0,N60*100/M60,0)</f>
        <v>65.682754851661826</v>
      </c>
      <c r="Q60" s="502">
        <f t="shared" ref="Q60:S60" si="32">Q61+Q62</f>
        <v>0</v>
      </c>
      <c r="R60" s="502">
        <f t="shared" si="32"/>
        <v>0</v>
      </c>
      <c r="S60" s="502">
        <f t="shared" si="32"/>
        <v>0</v>
      </c>
      <c r="T60" s="502">
        <f t="shared" ref="T60:T68" si="33">IF(Q60&gt;0,S60*100/Q60,0)</f>
        <v>0</v>
      </c>
      <c r="U60" s="502">
        <f t="shared" ref="U60:U68" si="34">IF(R60&gt;0,S60*100/R60,0)</f>
        <v>0</v>
      </c>
    </row>
    <row r="61" spans="1:21" ht="18.75" hidden="1" x14ac:dyDescent="0.25">
      <c r="A61" s="95"/>
      <c r="B61" s="96"/>
      <c r="C61" s="96"/>
      <c r="D61" s="96"/>
      <c r="E61" s="503" t="s">
        <v>20</v>
      </c>
      <c r="F61" s="96"/>
      <c r="G61" s="99"/>
      <c r="H61" s="504" t="s">
        <v>14</v>
      </c>
      <c r="I61" s="101"/>
      <c r="J61" s="101"/>
      <c r="K61" s="102"/>
      <c r="L61" s="505">
        <f t="shared" ref="L61:N62" si="35">L64+L67</f>
        <v>0</v>
      </c>
      <c r="M61" s="506">
        <f t="shared" si="35"/>
        <v>0</v>
      </c>
      <c r="N61" s="506">
        <f t="shared" si="35"/>
        <v>0</v>
      </c>
      <c r="O61" s="506">
        <f t="shared" si="30"/>
        <v>0</v>
      </c>
      <c r="P61" s="506">
        <f t="shared" si="31"/>
        <v>0</v>
      </c>
      <c r="Q61" s="506">
        <f t="shared" ref="Q61:S62" si="36">Q64+Q67</f>
        <v>0</v>
      </c>
      <c r="R61" s="506">
        <f t="shared" si="36"/>
        <v>0</v>
      </c>
      <c r="S61" s="506">
        <f t="shared" si="36"/>
        <v>0</v>
      </c>
      <c r="T61" s="506">
        <f t="shared" si="33"/>
        <v>0</v>
      </c>
      <c r="U61" s="506">
        <f t="shared" si="34"/>
        <v>0</v>
      </c>
    </row>
    <row r="62" spans="1:21" ht="18.75" hidden="1" x14ac:dyDescent="0.25">
      <c r="A62" s="95"/>
      <c r="B62" s="96"/>
      <c r="C62" s="96"/>
      <c r="D62" s="96"/>
      <c r="E62" s="104" t="s">
        <v>21</v>
      </c>
      <c r="F62" s="96"/>
      <c r="G62" s="99"/>
      <c r="H62" s="105" t="s">
        <v>14</v>
      </c>
      <c r="I62" s="101"/>
      <c r="J62" s="101"/>
      <c r="K62" s="102"/>
      <c r="L62" s="507">
        <f t="shared" ca="1" si="35"/>
        <v>448300</v>
      </c>
      <c r="M62" s="508">
        <f t="shared" ca="1" si="35"/>
        <v>448300</v>
      </c>
      <c r="N62" s="508">
        <f t="shared" ca="1" si="35"/>
        <v>294455.78999999998</v>
      </c>
      <c r="O62" s="508">
        <f t="shared" ca="1" si="30"/>
        <v>65.682754851661826</v>
      </c>
      <c r="P62" s="508">
        <f t="shared" ca="1" si="31"/>
        <v>65.682754851661826</v>
      </c>
      <c r="Q62" s="508">
        <f t="shared" si="36"/>
        <v>0</v>
      </c>
      <c r="R62" s="508">
        <f t="shared" si="36"/>
        <v>0</v>
      </c>
      <c r="S62" s="508">
        <f t="shared" si="36"/>
        <v>0</v>
      </c>
      <c r="T62" s="508">
        <f t="shared" si="33"/>
        <v>0</v>
      </c>
      <c r="U62" s="508">
        <f t="shared" si="34"/>
        <v>0</v>
      </c>
    </row>
    <row r="63" spans="1:21" ht="18.75" x14ac:dyDescent="0.25">
      <c r="A63" s="36"/>
      <c r="B63" s="187"/>
      <c r="C63" s="187"/>
      <c r="D63" s="38" t="s">
        <v>22</v>
      </c>
      <c r="E63" s="187"/>
      <c r="F63" s="187"/>
      <c r="G63" s="39"/>
      <c r="H63" s="40" t="s">
        <v>14</v>
      </c>
      <c r="I63" s="41"/>
      <c r="J63" s="41"/>
      <c r="K63" s="42"/>
      <c r="L63" s="481">
        <f t="shared" ref="L63:N63" ca="1" si="37">L64+L65</f>
        <v>448300</v>
      </c>
      <c r="M63" s="230">
        <f t="shared" ca="1" si="37"/>
        <v>448300</v>
      </c>
      <c r="N63" s="230">
        <f t="shared" ca="1" si="37"/>
        <v>294455.78999999998</v>
      </c>
      <c r="O63" s="230">
        <f t="shared" ca="1" si="30"/>
        <v>65.682754851661826</v>
      </c>
      <c r="P63" s="230">
        <f t="shared" ca="1" si="31"/>
        <v>65.682754851661826</v>
      </c>
      <c r="Q63" s="230">
        <f t="shared" ref="Q63:S63" si="38">Q64+Q65</f>
        <v>0</v>
      </c>
      <c r="R63" s="230">
        <f t="shared" si="38"/>
        <v>0</v>
      </c>
      <c r="S63" s="230">
        <f t="shared" si="38"/>
        <v>0</v>
      </c>
      <c r="T63" s="230">
        <f t="shared" si="33"/>
        <v>0</v>
      </c>
      <c r="U63" s="230">
        <f t="shared" si="34"/>
        <v>0</v>
      </c>
    </row>
    <row r="64" spans="1:21" ht="18.75" hidden="1" x14ac:dyDescent="0.25">
      <c r="A64" s="36"/>
      <c r="B64" s="187"/>
      <c r="C64" s="187"/>
      <c r="D64" s="187"/>
      <c r="E64" s="154" t="s">
        <v>20</v>
      </c>
      <c r="F64" s="187"/>
      <c r="G64" s="39"/>
      <c r="H64" s="482" t="s">
        <v>14</v>
      </c>
      <c r="I64" s="41"/>
      <c r="J64" s="41"/>
      <c r="K64" s="42"/>
      <c r="L64" s="483">
        <v>0</v>
      </c>
      <c r="M64" s="80">
        <v>0</v>
      </c>
      <c r="N64" s="80">
        <v>0</v>
      </c>
      <c r="O64" s="80">
        <f t="shared" si="30"/>
        <v>0</v>
      </c>
      <c r="P64" s="80">
        <f t="shared" si="31"/>
        <v>0</v>
      </c>
      <c r="Q64" s="80">
        <v>0</v>
      </c>
      <c r="R64" s="80">
        <v>0</v>
      </c>
      <c r="S64" s="80">
        <v>0</v>
      </c>
      <c r="T64" s="80">
        <f t="shared" si="33"/>
        <v>0</v>
      </c>
      <c r="U64" s="80">
        <f t="shared" si="34"/>
        <v>0</v>
      </c>
    </row>
    <row r="65" spans="1:21" ht="18.75" hidden="1" x14ac:dyDescent="0.25">
      <c r="A65" s="36"/>
      <c r="B65" s="187"/>
      <c r="C65" s="187"/>
      <c r="D65" s="187"/>
      <c r="E65" s="254" t="s">
        <v>21</v>
      </c>
      <c r="F65" s="187"/>
      <c r="G65" s="39"/>
      <c r="H65" s="40" t="s">
        <v>14</v>
      </c>
      <c r="I65" s="41"/>
      <c r="J65" s="41"/>
      <c r="K65" s="42"/>
      <c r="L65" s="481">
        <f ca="1">IFERROR(__xludf.DUMMYFUNCTION("IMPORTRANGE(""https://docs.google.com/spreadsheets/d/1-uDff_7J0KD5mKrp0Vvzr7lt3OU09vwQwhkpOPPYv2Y/edit?usp=sharing"",""งบพรบ!AC21"")"),448300)</f>
        <v>448300</v>
      </c>
      <c r="M65" s="230">
        <f ca="1">IFERROR(__xludf.DUMMYFUNCTION("IMPORTRANGE(""https://docs.google.com/spreadsheets/d/1-uDff_7J0KD5mKrp0Vvzr7lt3OU09vwQwhkpOPPYv2Y/edit?usp=sharing"",""งบพรบ!AH21"")"),448300)</f>
        <v>448300</v>
      </c>
      <c r="N65" s="230">
        <f ca="1">IFERROR(__xludf.DUMMYFUNCTION("IMPORTRANGE(""https://docs.google.com/spreadsheets/d/1-uDff_7J0KD5mKrp0Vvzr7lt3OU09vwQwhkpOPPYv2Y/edit?usp=sharing"",""งบพรบ!AJ21"")"),294455.79)</f>
        <v>294455.78999999998</v>
      </c>
      <c r="O65" s="230">
        <f t="shared" ca="1" si="30"/>
        <v>65.682754851661826</v>
      </c>
      <c r="P65" s="230">
        <f t="shared" ca="1" si="31"/>
        <v>65.682754851661826</v>
      </c>
      <c r="Q65" s="230">
        <v>0</v>
      </c>
      <c r="R65" s="230">
        <v>0</v>
      </c>
      <c r="S65" s="230">
        <v>0</v>
      </c>
      <c r="T65" s="230">
        <f t="shared" si="33"/>
        <v>0</v>
      </c>
      <c r="U65" s="230">
        <f t="shared" si="34"/>
        <v>0</v>
      </c>
    </row>
    <row r="66" spans="1:21" ht="18.75" x14ac:dyDescent="0.25">
      <c r="A66" s="36"/>
      <c r="B66" s="187"/>
      <c r="C66" s="187"/>
      <c r="D66" s="38" t="s">
        <v>23</v>
      </c>
      <c r="E66" s="187"/>
      <c r="F66" s="187"/>
      <c r="G66" s="39"/>
      <c r="H66" s="40" t="s">
        <v>14</v>
      </c>
      <c r="I66" s="41"/>
      <c r="J66" s="41"/>
      <c r="K66" s="42"/>
      <c r="L66" s="481">
        <f t="shared" ref="L66:N66" ca="1" si="39">L67+L68</f>
        <v>0</v>
      </c>
      <c r="M66" s="230">
        <f t="shared" ca="1" si="39"/>
        <v>0</v>
      </c>
      <c r="N66" s="230">
        <f t="shared" ca="1" si="39"/>
        <v>0</v>
      </c>
      <c r="O66" s="230">
        <f t="shared" ca="1" si="30"/>
        <v>0</v>
      </c>
      <c r="P66" s="230">
        <f t="shared" ca="1" si="31"/>
        <v>0</v>
      </c>
      <c r="Q66" s="230">
        <f t="shared" ref="Q66:S66" si="40">Q67+Q68</f>
        <v>0</v>
      </c>
      <c r="R66" s="230">
        <f t="shared" si="40"/>
        <v>0</v>
      </c>
      <c r="S66" s="230">
        <f t="shared" si="40"/>
        <v>0</v>
      </c>
      <c r="T66" s="230">
        <f t="shared" si="33"/>
        <v>0</v>
      </c>
      <c r="U66" s="230">
        <f t="shared" si="34"/>
        <v>0</v>
      </c>
    </row>
    <row r="67" spans="1:21" ht="18.75" hidden="1" x14ac:dyDescent="0.25">
      <c r="A67" s="36"/>
      <c r="B67" s="187"/>
      <c r="C67" s="187"/>
      <c r="D67" s="187"/>
      <c r="E67" s="154" t="s">
        <v>20</v>
      </c>
      <c r="F67" s="187"/>
      <c r="G67" s="39"/>
      <c r="H67" s="482" t="s">
        <v>14</v>
      </c>
      <c r="I67" s="41"/>
      <c r="J67" s="41"/>
      <c r="K67" s="42"/>
      <c r="L67" s="483">
        <v>0</v>
      </c>
      <c r="M67" s="80">
        <v>0</v>
      </c>
      <c r="N67" s="80">
        <v>0</v>
      </c>
      <c r="O67" s="80">
        <f t="shared" si="30"/>
        <v>0</v>
      </c>
      <c r="P67" s="80">
        <f t="shared" si="31"/>
        <v>0</v>
      </c>
      <c r="Q67" s="80">
        <v>0</v>
      </c>
      <c r="R67" s="80">
        <v>0</v>
      </c>
      <c r="S67" s="80">
        <v>0</v>
      </c>
      <c r="T67" s="80">
        <f t="shared" si="33"/>
        <v>0</v>
      </c>
      <c r="U67" s="80">
        <f t="shared" si="34"/>
        <v>0</v>
      </c>
    </row>
    <row r="68" spans="1:21" ht="18.75" hidden="1" x14ac:dyDescent="0.25">
      <c r="A68" s="47"/>
      <c r="B68" s="5"/>
      <c r="C68" s="5"/>
      <c r="D68" s="5"/>
      <c r="E68" s="191" t="s">
        <v>21</v>
      </c>
      <c r="F68" s="5"/>
      <c r="G68" s="49"/>
      <c r="H68" s="50" t="s">
        <v>14</v>
      </c>
      <c r="I68" s="51"/>
      <c r="J68" s="51"/>
      <c r="K68" s="7"/>
      <c r="L68" s="509">
        <f ca="1">IFERROR(__xludf.DUMMYFUNCTION("IMPORTRANGE(""https://docs.google.com/spreadsheets/d/1-uDff_7J0KD5mKrp0Vvzr7lt3OU09vwQwhkpOPPYv2Y/edit?usp=sharing"",""งบพรบ!AF21"")"),0)</f>
        <v>0</v>
      </c>
      <c r="M68" s="461">
        <f ca="1">IFERROR(__xludf.DUMMYFUNCTION("IMPORTRANGE(""https://docs.google.com/spreadsheets/d/1-uDff_7J0KD5mKrp0Vvzr7lt3OU09vwQwhkpOPPYv2Y/edit?usp=sharing"",""งบพรบ!AI21"")"),0)</f>
        <v>0</v>
      </c>
      <c r="N68" s="461">
        <f ca="1">IFERROR(__xludf.DUMMYFUNCTION("IMPORTRANGE(""https://docs.google.com/spreadsheets/d/1-uDff_7J0KD5mKrp0Vvzr7lt3OU09vwQwhkpOPPYv2Y/edit?usp=sharing"",""งบพรบ!AK21"")"),0)</f>
        <v>0</v>
      </c>
      <c r="O68" s="461">
        <f t="shared" ca="1" si="30"/>
        <v>0</v>
      </c>
      <c r="P68" s="461">
        <f t="shared" ca="1" si="31"/>
        <v>0</v>
      </c>
      <c r="Q68" s="461">
        <v>0</v>
      </c>
      <c r="R68" s="461">
        <v>0</v>
      </c>
      <c r="S68" s="461">
        <v>0</v>
      </c>
      <c r="T68" s="461">
        <f t="shared" si="33"/>
        <v>0</v>
      </c>
      <c r="U68" s="461">
        <f t="shared" si="34"/>
        <v>0</v>
      </c>
    </row>
    <row r="69" spans="1:21" ht="19.5" x14ac:dyDescent="0.3">
      <c r="A69" s="109" t="s">
        <v>31</v>
      </c>
      <c r="B69" s="110"/>
      <c r="C69" s="110"/>
      <c r="D69" s="110"/>
      <c r="E69" s="111"/>
      <c r="F69" s="111"/>
      <c r="G69" s="111"/>
      <c r="H69" s="111"/>
      <c r="I69" s="112"/>
      <c r="J69" s="112"/>
      <c r="K69" s="113"/>
      <c r="L69" s="113"/>
      <c r="M69" s="113"/>
      <c r="N69" s="113"/>
      <c r="O69" s="113"/>
      <c r="P69" s="114"/>
      <c r="Q69" s="113"/>
      <c r="R69" s="113"/>
      <c r="S69" s="113"/>
      <c r="T69" s="113"/>
      <c r="U69" s="114"/>
    </row>
    <row r="70" spans="1:21" ht="19.5" hidden="1" x14ac:dyDescent="0.3">
      <c r="A70" s="115" t="s">
        <v>32</v>
      </c>
      <c r="B70" s="116"/>
      <c r="C70" s="117"/>
      <c r="D70" s="116"/>
      <c r="E70" s="116"/>
      <c r="F70" s="116"/>
      <c r="G70" s="118"/>
      <c r="H70" s="118"/>
      <c r="I70" s="119"/>
      <c r="J70" s="119"/>
      <c r="K70" s="120"/>
      <c r="L70" s="510"/>
      <c r="M70" s="120"/>
      <c r="N70" s="120"/>
      <c r="O70" s="120"/>
      <c r="P70" s="120"/>
      <c r="Q70" s="120"/>
      <c r="R70" s="120"/>
      <c r="S70" s="120"/>
      <c r="T70" s="120"/>
      <c r="U70" s="120"/>
    </row>
    <row r="71" spans="1:21" ht="19.5" hidden="1" x14ac:dyDescent="0.3">
      <c r="A71" s="121"/>
      <c r="B71" s="122" t="s">
        <v>33</v>
      </c>
      <c r="C71" s="24"/>
      <c r="D71" s="123"/>
      <c r="E71" s="24"/>
      <c r="F71" s="24"/>
      <c r="G71" s="27"/>
      <c r="H71" s="185" t="s">
        <v>34</v>
      </c>
      <c r="I71" s="511">
        <f t="shared" ref="I71:J72" ca="1" si="41">I83</f>
        <v>0</v>
      </c>
      <c r="J71" s="511">
        <f t="shared" si="41"/>
        <v>0</v>
      </c>
      <c r="K71" s="474">
        <f t="shared" ref="K71:K72" ca="1" si="42">IF(I71&gt;0,J71*100/I71,0)</f>
        <v>0</v>
      </c>
      <c r="L71" s="512"/>
      <c r="M71" s="30"/>
      <c r="N71" s="30"/>
      <c r="O71" s="30"/>
      <c r="P71" s="30"/>
      <c r="Q71" s="30"/>
      <c r="R71" s="30"/>
      <c r="S71" s="30"/>
      <c r="T71" s="30"/>
      <c r="U71" s="30"/>
    </row>
    <row r="72" spans="1:21" ht="19.5" hidden="1" x14ac:dyDescent="0.3">
      <c r="A72" s="121"/>
      <c r="B72" s="24"/>
      <c r="C72" s="24"/>
      <c r="D72" s="123"/>
      <c r="E72" s="24"/>
      <c r="F72" s="24"/>
      <c r="G72" s="27"/>
      <c r="H72" s="185" t="s">
        <v>35</v>
      </c>
      <c r="I72" s="511">
        <f t="shared" ca="1" si="41"/>
        <v>0</v>
      </c>
      <c r="J72" s="511">
        <f t="shared" si="41"/>
        <v>0</v>
      </c>
      <c r="K72" s="474">
        <f t="shared" ca="1" si="42"/>
        <v>0</v>
      </c>
      <c r="L72" s="512"/>
      <c r="M72" s="30"/>
      <c r="N72" s="30"/>
      <c r="O72" s="30"/>
      <c r="P72" s="30"/>
      <c r="Q72" s="30"/>
      <c r="R72" s="30"/>
      <c r="S72" s="30"/>
      <c r="T72" s="30"/>
      <c r="U72" s="30"/>
    </row>
    <row r="73" spans="1:21" ht="19.5" hidden="1" x14ac:dyDescent="0.3">
      <c r="A73" s="126"/>
      <c r="B73" s="187"/>
      <c r="C73" s="186" t="s">
        <v>18</v>
      </c>
      <c r="D73" s="513" t="s">
        <v>19</v>
      </c>
      <c r="E73" s="187"/>
      <c r="F73" s="187"/>
      <c r="G73" s="39"/>
      <c r="H73" s="129" t="s">
        <v>14</v>
      </c>
      <c r="I73" s="41"/>
      <c r="J73" s="41"/>
      <c r="K73" s="42"/>
      <c r="L73" s="514">
        <f t="shared" ref="L73:N73" ca="1" si="43">L74+L75</f>
        <v>0</v>
      </c>
      <c r="M73" s="515">
        <f t="shared" ca="1" si="43"/>
        <v>0</v>
      </c>
      <c r="N73" s="515">
        <f t="shared" ca="1" si="43"/>
        <v>0</v>
      </c>
      <c r="O73" s="515">
        <f t="shared" ref="O73:O81" ca="1" si="44">IF(L73&gt;0,N73*100/L73,0)</f>
        <v>0</v>
      </c>
      <c r="P73" s="515">
        <f t="shared" ref="P73:P81" ca="1" si="45">IF(M73&gt;0,N73*100/M73,0)</f>
        <v>0</v>
      </c>
      <c r="Q73" s="515">
        <f t="shared" ref="Q73:S73" ca="1" si="46">Q74+Q75</f>
        <v>0</v>
      </c>
      <c r="R73" s="515">
        <f t="shared" ca="1" si="46"/>
        <v>0</v>
      </c>
      <c r="S73" s="515">
        <f t="shared" ca="1" si="46"/>
        <v>0</v>
      </c>
      <c r="T73" s="515">
        <f t="shared" ref="T73:T81" ca="1" si="47">IF(Q73&gt;0,S73*100/Q73,0)</f>
        <v>0</v>
      </c>
      <c r="U73" s="515">
        <f t="shared" ref="U73:U81" ca="1" si="48">IF(R73&gt;0,S73*100/R73,0)</f>
        <v>0</v>
      </c>
    </row>
    <row r="74" spans="1:21" ht="18.75" hidden="1" x14ac:dyDescent="0.25">
      <c r="A74" s="126"/>
      <c r="B74" s="187"/>
      <c r="C74" s="187"/>
      <c r="D74" s="187"/>
      <c r="E74" s="154" t="s">
        <v>20</v>
      </c>
      <c r="F74" s="187"/>
      <c r="G74" s="39"/>
      <c r="H74" s="155" t="s">
        <v>14</v>
      </c>
      <c r="I74" s="41"/>
      <c r="J74" s="41"/>
      <c r="K74" s="42"/>
      <c r="L74" s="483">
        <f t="shared" ref="L74:N75" si="49">L77+L80</f>
        <v>0</v>
      </c>
      <c r="M74" s="80">
        <f t="shared" si="49"/>
        <v>0</v>
      </c>
      <c r="N74" s="80">
        <f t="shared" si="49"/>
        <v>0</v>
      </c>
      <c r="O74" s="80">
        <f t="shared" si="44"/>
        <v>0</v>
      </c>
      <c r="P74" s="80">
        <f t="shared" si="45"/>
        <v>0</v>
      </c>
      <c r="Q74" s="80">
        <f t="shared" ref="Q74:S75" si="50">Q77+Q80</f>
        <v>0</v>
      </c>
      <c r="R74" s="80">
        <f t="shared" si="50"/>
        <v>0</v>
      </c>
      <c r="S74" s="80">
        <f t="shared" si="50"/>
        <v>0</v>
      </c>
      <c r="T74" s="80">
        <f t="shared" si="47"/>
        <v>0</v>
      </c>
      <c r="U74" s="80">
        <f t="shared" si="48"/>
        <v>0</v>
      </c>
    </row>
    <row r="75" spans="1:21" ht="18.75" hidden="1" x14ac:dyDescent="0.25">
      <c r="A75" s="126"/>
      <c r="B75" s="187"/>
      <c r="C75" s="187"/>
      <c r="D75" s="187"/>
      <c r="E75" s="254" t="s">
        <v>21</v>
      </c>
      <c r="F75" s="187"/>
      <c r="G75" s="39"/>
      <c r="H75" s="131" t="s">
        <v>14</v>
      </c>
      <c r="I75" s="41"/>
      <c r="J75" s="41"/>
      <c r="K75" s="42"/>
      <c r="L75" s="481">
        <f t="shared" ca="1" si="49"/>
        <v>0</v>
      </c>
      <c r="M75" s="230">
        <f t="shared" ca="1" si="49"/>
        <v>0</v>
      </c>
      <c r="N75" s="230">
        <f t="shared" ca="1" si="49"/>
        <v>0</v>
      </c>
      <c r="O75" s="230">
        <f t="shared" ca="1" si="44"/>
        <v>0</v>
      </c>
      <c r="P75" s="230">
        <f t="shared" ca="1" si="45"/>
        <v>0</v>
      </c>
      <c r="Q75" s="230">
        <f t="shared" ca="1" si="50"/>
        <v>0</v>
      </c>
      <c r="R75" s="230">
        <f t="shared" ca="1" si="50"/>
        <v>0</v>
      </c>
      <c r="S75" s="230">
        <f t="shared" ca="1" si="50"/>
        <v>0</v>
      </c>
      <c r="T75" s="230">
        <f t="shared" ca="1" si="47"/>
        <v>0</v>
      </c>
      <c r="U75" s="230">
        <f t="shared" ca="1" si="48"/>
        <v>0</v>
      </c>
    </row>
    <row r="76" spans="1:21" ht="18.75" hidden="1" x14ac:dyDescent="0.25">
      <c r="A76" s="126"/>
      <c r="B76" s="187"/>
      <c r="C76" s="187"/>
      <c r="D76" s="38" t="s">
        <v>22</v>
      </c>
      <c r="E76" s="187"/>
      <c r="F76" s="187"/>
      <c r="G76" s="39"/>
      <c r="H76" s="132" t="s">
        <v>14</v>
      </c>
      <c r="I76" s="133"/>
      <c r="J76" s="133"/>
      <c r="K76" s="134"/>
      <c r="L76" s="481">
        <f t="shared" ref="L76:N76" ca="1" si="51">L77+L78</f>
        <v>0</v>
      </c>
      <c r="M76" s="230">
        <f t="shared" ca="1" si="51"/>
        <v>0</v>
      </c>
      <c r="N76" s="230">
        <f t="shared" ca="1" si="51"/>
        <v>0</v>
      </c>
      <c r="O76" s="230">
        <f t="shared" ca="1" si="44"/>
        <v>0</v>
      </c>
      <c r="P76" s="230">
        <f t="shared" ca="1" si="45"/>
        <v>0</v>
      </c>
      <c r="Q76" s="230">
        <f t="shared" ref="Q76:S76" ca="1" si="52">Q77+Q78</f>
        <v>0</v>
      </c>
      <c r="R76" s="230">
        <f t="shared" ca="1" si="52"/>
        <v>0</v>
      </c>
      <c r="S76" s="230">
        <f t="shared" ca="1" si="52"/>
        <v>0</v>
      </c>
      <c r="T76" s="230">
        <f t="shared" ca="1" si="47"/>
        <v>0</v>
      </c>
      <c r="U76" s="230">
        <f t="shared" ca="1" si="48"/>
        <v>0</v>
      </c>
    </row>
    <row r="77" spans="1:21" ht="18.75" hidden="1" x14ac:dyDescent="0.25">
      <c r="A77" s="126"/>
      <c r="B77" s="187"/>
      <c r="C77" s="187"/>
      <c r="D77" s="187"/>
      <c r="E77" s="154" t="s">
        <v>36</v>
      </c>
      <c r="F77" s="187"/>
      <c r="G77" s="39"/>
      <c r="H77" s="157" t="s">
        <v>14</v>
      </c>
      <c r="I77" s="133"/>
      <c r="J77" s="133"/>
      <c r="K77" s="134"/>
      <c r="L77" s="483">
        <v>0</v>
      </c>
      <c r="M77" s="80">
        <v>0</v>
      </c>
      <c r="N77" s="80">
        <v>0</v>
      </c>
      <c r="O77" s="80">
        <f t="shared" si="44"/>
        <v>0</v>
      </c>
      <c r="P77" s="80">
        <f t="shared" si="45"/>
        <v>0</v>
      </c>
      <c r="Q77" s="80">
        <v>0</v>
      </c>
      <c r="R77" s="80">
        <v>0</v>
      </c>
      <c r="S77" s="80">
        <v>0</v>
      </c>
      <c r="T77" s="80">
        <f t="shared" si="47"/>
        <v>0</v>
      </c>
      <c r="U77" s="80">
        <f t="shared" si="48"/>
        <v>0</v>
      </c>
    </row>
    <row r="78" spans="1:21" ht="18.75" hidden="1" x14ac:dyDescent="0.25">
      <c r="A78" s="126"/>
      <c r="B78" s="187"/>
      <c r="C78" s="187"/>
      <c r="D78" s="187"/>
      <c r="E78" s="254" t="s">
        <v>37</v>
      </c>
      <c r="F78" s="187"/>
      <c r="G78" s="39"/>
      <c r="H78" s="132" t="s">
        <v>14</v>
      </c>
      <c r="I78" s="133"/>
      <c r="J78" s="133"/>
      <c r="K78" s="134"/>
      <c r="L78" s="481">
        <f ca="1">IFERROR(__xludf.DUMMYFUNCTION("IMPORTRANGE(""https://docs.google.com/spreadsheets/d/1-uDff_7J0KD5mKrp0Vvzr7lt3OU09vwQwhkpOPPYv2Y/edit?usp=sharing"",""งบพรบ!AM21"")"),0)</f>
        <v>0</v>
      </c>
      <c r="M78" s="230">
        <f ca="1">IFERROR(__xludf.DUMMYFUNCTION("IMPORTRANGE(""https://docs.google.com/spreadsheets/d/1-uDff_7J0KD5mKrp0Vvzr7lt3OU09vwQwhkpOPPYv2Y/edit?usp=sharing"",""งบพรบ!AR21"")"),0)</f>
        <v>0</v>
      </c>
      <c r="N78" s="230">
        <f ca="1">IFERROR(__xludf.DUMMYFUNCTION("IMPORTRANGE(""https://docs.google.com/spreadsheets/d/1-uDff_7J0KD5mKrp0Vvzr7lt3OU09vwQwhkpOPPYv2Y/edit?usp=sharing"",""งบพรบ!AT21"")"),0)</f>
        <v>0</v>
      </c>
      <c r="O78" s="230">
        <f t="shared" ca="1" si="44"/>
        <v>0</v>
      </c>
      <c r="P78" s="230">
        <f t="shared" ca="1" si="45"/>
        <v>0</v>
      </c>
      <c r="Q78" s="230">
        <f ca="1">IFERROR(__xludf.DUMMYFUNCTION("IMPORTRANGE(""https://docs.google.com/spreadsheets/d/1ItG2mGa2ceCfYo0BwxsXqNm01IGEUdYcSSLTEv9YCik/edit?usp=sharing"",""เบิกจ่ายกองทุน!AS21"")"),0)</f>
        <v>0</v>
      </c>
      <c r="R78" s="230">
        <f ca="1">IFERROR(__xludf.DUMMYFUNCTION("IMPORTRANGE(""https://docs.google.com/spreadsheets/d/1ItG2mGa2ceCfYo0BwxsXqNm01IGEUdYcSSLTEv9YCik/edit?usp=sharing"",""เบิกจ่ายกองทุน!AT21"")"),0)</f>
        <v>0</v>
      </c>
      <c r="S78" s="230">
        <f ca="1">IFERROR(__xludf.DUMMYFUNCTION("IMPORTRANGE(""https://docs.google.com/spreadsheets/d/1ItG2mGa2ceCfYo0BwxsXqNm01IGEUdYcSSLTEv9YCik/edit?usp=sharing"",""เบิกจ่ายกองทุน!AU21"")"),0)</f>
        <v>0</v>
      </c>
      <c r="T78" s="230">
        <f t="shared" ca="1" si="47"/>
        <v>0</v>
      </c>
      <c r="U78" s="230">
        <f t="shared" ca="1" si="48"/>
        <v>0</v>
      </c>
    </row>
    <row r="79" spans="1:21" ht="18.75" hidden="1" x14ac:dyDescent="0.25">
      <c r="A79" s="126"/>
      <c r="B79" s="187"/>
      <c r="C79" s="187"/>
      <c r="D79" s="38" t="s">
        <v>23</v>
      </c>
      <c r="E79" s="187"/>
      <c r="F79" s="187"/>
      <c r="G79" s="39"/>
      <c r="H79" s="135" t="s">
        <v>14</v>
      </c>
      <c r="I79" s="133"/>
      <c r="J79" s="133"/>
      <c r="K79" s="134"/>
      <c r="L79" s="481">
        <f t="shared" ref="L79:N79" ca="1" si="53">L80+L81</f>
        <v>0</v>
      </c>
      <c r="M79" s="230">
        <f t="shared" ca="1" si="53"/>
        <v>0</v>
      </c>
      <c r="N79" s="230">
        <f t="shared" ca="1" si="53"/>
        <v>0</v>
      </c>
      <c r="O79" s="230">
        <f t="shared" ca="1" si="44"/>
        <v>0</v>
      </c>
      <c r="P79" s="230">
        <f t="shared" ca="1" si="45"/>
        <v>0</v>
      </c>
      <c r="Q79" s="230">
        <f t="shared" ref="Q79:S79" si="54">Q80+Q81</f>
        <v>0</v>
      </c>
      <c r="R79" s="230">
        <f t="shared" si="54"/>
        <v>0</v>
      </c>
      <c r="S79" s="230">
        <f t="shared" si="54"/>
        <v>0</v>
      </c>
      <c r="T79" s="230">
        <f t="shared" si="47"/>
        <v>0</v>
      </c>
      <c r="U79" s="230">
        <f t="shared" si="48"/>
        <v>0</v>
      </c>
    </row>
    <row r="80" spans="1:21" ht="18.75" hidden="1" x14ac:dyDescent="0.25">
      <c r="A80" s="126"/>
      <c r="B80" s="187"/>
      <c r="C80" s="187"/>
      <c r="D80" s="187"/>
      <c r="E80" s="154" t="s">
        <v>20</v>
      </c>
      <c r="F80" s="187"/>
      <c r="G80" s="39"/>
      <c r="H80" s="157" t="s">
        <v>14</v>
      </c>
      <c r="I80" s="133"/>
      <c r="J80" s="133"/>
      <c r="K80" s="134"/>
      <c r="L80" s="483">
        <v>0</v>
      </c>
      <c r="M80" s="230">
        <v>0</v>
      </c>
      <c r="N80" s="230">
        <v>0</v>
      </c>
      <c r="O80" s="80">
        <f t="shared" si="44"/>
        <v>0</v>
      </c>
      <c r="P80" s="80">
        <f t="shared" si="45"/>
        <v>0</v>
      </c>
      <c r="Q80" s="80">
        <v>0</v>
      </c>
      <c r="R80" s="230">
        <v>0</v>
      </c>
      <c r="S80" s="230">
        <v>0</v>
      </c>
      <c r="T80" s="80">
        <f t="shared" si="47"/>
        <v>0</v>
      </c>
      <c r="U80" s="80">
        <f t="shared" si="48"/>
        <v>0</v>
      </c>
    </row>
    <row r="81" spans="1:21" ht="18.75" hidden="1" x14ac:dyDescent="0.25">
      <c r="A81" s="126"/>
      <c r="B81" s="187"/>
      <c r="C81" s="187"/>
      <c r="D81" s="187"/>
      <c r="E81" s="254" t="s">
        <v>21</v>
      </c>
      <c r="F81" s="187"/>
      <c r="G81" s="39"/>
      <c r="H81" s="135" t="s">
        <v>14</v>
      </c>
      <c r="I81" s="133"/>
      <c r="J81" s="133"/>
      <c r="K81" s="134"/>
      <c r="L81" s="481">
        <f ca="1">IFERROR(__xludf.DUMMYFUNCTION("IMPORTRANGE(""https://docs.google.com/spreadsheets/d/1-uDff_7J0KD5mKrp0Vvzr7lt3OU09vwQwhkpOPPYv2Y/edit?usp=sharing"",""งบพรบ!AP21"")"),0)</f>
        <v>0</v>
      </c>
      <c r="M81" s="230">
        <f ca="1">IFERROR(__xludf.DUMMYFUNCTION("IMPORTRANGE(""https://docs.google.com/spreadsheets/d/1-uDff_7J0KD5mKrp0Vvzr7lt3OU09vwQwhkpOPPYv2Y/edit?usp=sharing"",""งบพรบ!AS21"")"),0)</f>
        <v>0</v>
      </c>
      <c r="N81" s="230">
        <f ca="1">IFERROR(__xludf.DUMMYFUNCTION("IMPORTRANGE(""https://docs.google.com/spreadsheets/d/1-uDff_7J0KD5mKrp0Vvzr7lt3OU09vwQwhkpOPPYv2Y/edit?usp=sharing"",""งบพรบ!AU21"")"),0)</f>
        <v>0</v>
      </c>
      <c r="O81" s="230">
        <f t="shared" ca="1" si="44"/>
        <v>0</v>
      </c>
      <c r="P81" s="230">
        <f t="shared" ca="1" si="45"/>
        <v>0</v>
      </c>
      <c r="Q81" s="230">
        <v>0</v>
      </c>
      <c r="R81" s="230">
        <v>0</v>
      </c>
      <c r="S81" s="230">
        <v>0</v>
      </c>
      <c r="T81" s="230">
        <f t="shared" si="47"/>
        <v>0</v>
      </c>
      <c r="U81" s="230">
        <f t="shared" si="48"/>
        <v>0</v>
      </c>
    </row>
    <row r="82" spans="1:21" ht="19.5" hidden="1" x14ac:dyDescent="0.3">
      <c r="A82" s="136"/>
      <c r="B82" s="137"/>
      <c r="C82" s="186" t="s">
        <v>18</v>
      </c>
      <c r="D82" s="516" t="s">
        <v>38</v>
      </c>
      <c r="E82" s="139"/>
      <c r="F82" s="139"/>
      <c r="G82" s="140"/>
      <c r="H82" s="141"/>
      <c r="I82" s="133"/>
      <c r="J82" s="133"/>
      <c r="K82" s="134"/>
      <c r="L82" s="517"/>
      <c r="M82" s="134"/>
      <c r="N82" s="134"/>
      <c r="O82" s="134"/>
      <c r="P82" s="134"/>
      <c r="Q82" s="134"/>
      <c r="R82" s="134"/>
      <c r="S82" s="134"/>
      <c r="T82" s="134"/>
      <c r="U82" s="134"/>
    </row>
    <row r="83" spans="1:21" ht="19.5" hidden="1" x14ac:dyDescent="0.3">
      <c r="A83" s="136"/>
      <c r="B83" s="137"/>
      <c r="C83" s="137"/>
      <c r="D83" s="319" t="s">
        <v>39</v>
      </c>
      <c r="E83" s="167"/>
      <c r="F83" s="167"/>
      <c r="G83" s="141"/>
      <c r="H83" s="144" t="s">
        <v>34</v>
      </c>
      <c r="I83" s="340">
        <f t="shared" ref="I83:J84" ca="1" si="55">I85+I87+I89</f>
        <v>0</v>
      </c>
      <c r="J83" s="340">
        <f t="shared" si="55"/>
        <v>0</v>
      </c>
      <c r="K83" s="518">
        <f t="shared" ref="K83:K91" ca="1" si="56">IF(I83&gt;0,J83*100/I83,0)</f>
        <v>0</v>
      </c>
      <c r="L83" s="517"/>
      <c r="M83" s="134"/>
      <c r="N83" s="134"/>
      <c r="O83" s="134"/>
      <c r="P83" s="134"/>
      <c r="Q83" s="134"/>
      <c r="R83" s="134"/>
      <c r="S83" s="134"/>
      <c r="T83" s="134"/>
      <c r="U83" s="134"/>
    </row>
    <row r="84" spans="1:21" ht="19.5" hidden="1" x14ac:dyDescent="0.3">
      <c r="A84" s="136"/>
      <c r="B84" s="137"/>
      <c r="C84" s="137"/>
      <c r="D84" s="137"/>
      <c r="E84" s="167"/>
      <c r="F84" s="167"/>
      <c r="G84" s="141"/>
      <c r="H84" s="144" t="s">
        <v>35</v>
      </c>
      <c r="I84" s="340">
        <f t="shared" ca="1" si="55"/>
        <v>0</v>
      </c>
      <c r="J84" s="340">
        <f t="shared" si="55"/>
        <v>0</v>
      </c>
      <c r="K84" s="518">
        <f t="shared" ca="1" si="56"/>
        <v>0</v>
      </c>
      <c r="L84" s="517"/>
      <c r="M84" s="134"/>
      <c r="N84" s="134"/>
      <c r="O84" s="134"/>
      <c r="P84" s="134"/>
      <c r="Q84" s="134"/>
      <c r="R84" s="134"/>
      <c r="S84" s="134"/>
      <c r="T84" s="134"/>
      <c r="U84" s="134"/>
    </row>
    <row r="85" spans="1:21" ht="18.75" hidden="1" x14ac:dyDescent="0.25">
      <c r="A85" s="136"/>
      <c r="B85" s="137"/>
      <c r="C85" s="137"/>
      <c r="D85" s="137"/>
      <c r="E85" s="164" t="s">
        <v>40</v>
      </c>
      <c r="F85" s="167"/>
      <c r="G85" s="141"/>
      <c r="H85" s="232" t="s">
        <v>34</v>
      </c>
      <c r="I85" s="519">
        <f ca="1">IFERROR(__xludf.DUMMYFUNCTION("IMPORTRANGE(""https://docs.google.com/spreadsheets/d/1eHaY18a8A9IcSdp1K8H6x8fbOy06t2VsZHhMHf-1x7Y/edit?usp=sharing"",""แผน!H21"")"),0)</f>
        <v>0</v>
      </c>
      <c r="J85" s="520">
        <v>0</v>
      </c>
      <c r="K85" s="521">
        <f t="shared" ca="1" si="56"/>
        <v>0</v>
      </c>
      <c r="L85" s="517"/>
      <c r="M85" s="134"/>
      <c r="N85" s="134"/>
      <c r="O85" s="134"/>
      <c r="P85" s="134"/>
      <c r="Q85" s="134"/>
      <c r="R85" s="134"/>
      <c r="S85" s="134"/>
      <c r="T85" s="134"/>
      <c r="U85" s="134"/>
    </row>
    <row r="86" spans="1:21" ht="18.75" hidden="1" x14ac:dyDescent="0.25">
      <c r="A86" s="136"/>
      <c r="B86" s="137"/>
      <c r="C86" s="137"/>
      <c r="D86" s="137"/>
      <c r="E86" s="167"/>
      <c r="F86" s="167"/>
      <c r="G86" s="141"/>
      <c r="H86" s="232" t="s">
        <v>35</v>
      </c>
      <c r="I86" s="519">
        <f ca="1">IFERROR(__xludf.DUMMYFUNCTION("IMPORTRANGE(""https://docs.google.com/spreadsheets/d/1eHaY18a8A9IcSdp1K8H6x8fbOy06t2VsZHhMHf-1x7Y/edit?usp=sharing"",""แผน!I21"")"),0)</f>
        <v>0</v>
      </c>
      <c r="J86" s="520">
        <v>0</v>
      </c>
      <c r="K86" s="521">
        <f t="shared" ca="1" si="56"/>
        <v>0</v>
      </c>
      <c r="L86" s="517"/>
      <c r="M86" s="134"/>
      <c r="N86" s="134"/>
      <c r="O86" s="134"/>
      <c r="P86" s="134"/>
      <c r="Q86" s="134"/>
      <c r="R86" s="134"/>
      <c r="S86" s="134"/>
      <c r="T86" s="134"/>
      <c r="U86" s="134"/>
    </row>
    <row r="87" spans="1:21" ht="18.75" hidden="1" x14ac:dyDescent="0.25">
      <c r="A87" s="136"/>
      <c r="B87" s="137"/>
      <c r="C87" s="137"/>
      <c r="D87" s="137"/>
      <c r="E87" s="164" t="s">
        <v>41</v>
      </c>
      <c r="F87" s="167"/>
      <c r="G87" s="141"/>
      <c r="H87" s="232" t="s">
        <v>34</v>
      </c>
      <c r="I87" s="519">
        <f ca="1">IFERROR(__xludf.DUMMYFUNCTION("IMPORTRANGE(""https://docs.google.com/spreadsheets/d/1eHaY18a8A9IcSdp1K8H6x8fbOy06t2VsZHhMHf-1x7Y/edit?usp=sharing"",""แผน!F21"")"),0)</f>
        <v>0</v>
      </c>
      <c r="J87" s="520">
        <v>0</v>
      </c>
      <c r="K87" s="521">
        <f t="shared" ca="1" si="56"/>
        <v>0</v>
      </c>
      <c r="L87" s="517"/>
      <c r="M87" s="134"/>
      <c r="N87" s="134"/>
      <c r="O87" s="134"/>
      <c r="P87" s="134"/>
      <c r="Q87" s="134"/>
      <c r="R87" s="134"/>
      <c r="S87" s="134"/>
      <c r="T87" s="134"/>
      <c r="U87" s="134"/>
    </row>
    <row r="88" spans="1:21" ht="18.75" hidden="1" x14ac:dyDescent="0.25">
      <c r="A88" s="136"/>
      <c r="B88" s="137"/>
      <c r="C88" s="137"/>
      <c r="D88" s="137"/>
      <c r="E88" s="167"/>
      <c r="F88" s="167"/>
      <c r="G88" s="141"/>
      <c r="H88" s="232" t="s">
        <v>35</v>
      </c>
      <c r="I88" s="519">
        <f ca="1">IFERROR(__xludf.DUMMYFUNCTION("IMPORTRANGE(""https://docs.google.com/spreadsheets/d/1eHaY18a8A9IcSdp1K8H6x8fbOy06t2VsZHhMHf-1x7Y/edit?usp=sharing"",""แผน!G21"")"),0)</f>
        <v>0</v>
      </c>
      <c r="J88" s="520">
        <v>0</v>
      </c>
      <c r="K88" s="521">
        <f t="shared" ca="1" si="56"/>
        <v>0</v>
      </c>
      <c r="L88" s="517"/>
      <c r="M88" s="134"/>
      <c r="N88" s="134"/>
      <c r="O88" s="134"/>
      <c r="P88" s="134"/>
      <c r="Q88" s="134"/>
      <c r="R88" s="134"/>
      <c r="S88" s="134"/>
      <c r="T88" s="134"/>
      <c r="U88" s="134"/>
    </row>
    <row r="89" spans="1:21" ht="18.75" hidden="1" x14ac:dyDescent="0.25">
      <c r="A89" s="136"/>
      <c r="B89" s="137"/>
      <c r="C89" s="137"/>
      <c r="D89" s="137"/>
      <c r="E89" s="164" t="s">
        <v>42</v>
      </c>
      <c r="F89" s="167"/>
      <c r="G89" s="141"/>
      <c r="H89" s="232" t="s">
        <v>34</v>
      </c>
      <c r="I89" s="519">
        <f ca="1">IFERROR(__xludf.DUMMYFUNCTION("IMPORTRANGE(""https://docs.google.com/spreadsheets/d/1eHaY18a8A9IcSdp1K8H6x8fbOy06t2VsZHhMHf-1x7Y/edit?usp=sharing"",""แผน!D21"")"),0)</f>
        <v>0</v>
      </c>
      <c r="J89" s="520">
        <v>0</v>
      </c>
      <c r="K89" s="521">
        <f t="shared" ca="1" si="56"/>
        <v>0</v>
      </c>
      <c r="L89" s="517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1:21" ht="18.75" hidden="1" x14ac:dyDescent="0.25">
      <c r="A90" s="136"/>
      <c r="B90" s="137"/>
      <c r="C90" s="137"/>
      <c r="D90" s="137"/>
      <c r="E90" s="167"/>
      <c r="F90" s="167"/>
      <c r="G90" s="141"/>
      <c r="H90" s="232" t="s">
        <v>35</v>
      </c>
      <c r="I90" s="519">
        <f ca="1">IFERROR(__xludf.DUMMYFUNCTION("IMPORTRANGE(""https://docs.google.com/spreadsheets/d/1eHaY18a8A9IcSdp1K8H6x8fbOy06t2VsZHhMHf-1x7Y/edit?usp=sharing"",""แผน!E21"")"),0)</f>
        <v>0</v>
      </c>
      <c r="J90" s="520">
        <v>0</v>
      </c>
      <c r="K90" s="521">
        <f t="shared" ca="1" si="56"/>
        <v>0</v>
      </c>
      <c r="L90" s="517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1:21" ht="18.75" hidden="1" x14ac:dyDescent="0.25">
      <c r="A91" s="136"/>
      <c r="B91" s="137"/>
      <c r="C91" s="137"/>
      <c r="D91" s="319" t="s">
        <v>43</v>
      </c>
      <c r="E91" s="167"/>
      <c r="F91" s="167"/>
      <c r="G91" s="141"/>
      <c r="H91" s="151" t="s">
        <v>34</v>
      </c>
      <c r="I91" s="519">
        <f ca="1">IFERROR(__xludf.DUMMYFUNCTION("IMPORTRANGE(""https://docs.google.com/spreadsheets/d/1eHaY18a8A9IcSdp1K8H6x8fbOy06t2VsZHhMHf-1x7Y/edit?usp=sharing"",""แผน!J21"")"),0)</f>
        <v>0</v>
      </c>
      <c r="J91" s="520">
        <v>0</v>
      </c>
      <c r="K91" s="521">
        <f t="shared" ca="1" si="56"/>
        <v>0</v>
      </c>
      <c r="L91" s="517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1:21" ht="19.5" x14ac:dyDescent="0.3">
      <c r="A92" s="115" t="s">
        <v>44</v>
      </c>
      <c r="B92" s="116"/>
      <c r="C92" s="117"/>
      <c r="D92" s="116"/>
      <c r="E92" s="116"/>
      <c r="F92" s="116"/>
      <c r="G92" s="118"/>
      <c r="H92" s="118"/>
      <c r="I92" s="119"/>
      <c r="J92" s="119"/>
      <c r="K92" s="120"/>
      <c r="L92" s="510"/>
      <c r="M92" s="120"/>
      <c r="N92" s="120"/>
      <c r="O92" s="120"/>
      <c r="P92" s="120"/>
      <c r="Q92" s="120"/>
      <c r="R92" s="120"/>
      <c r="S92" s="120"/>
      <c r="T92" s="120"/>
      <c r="U92" s="120"/>
    </row>
    <row r="93" spans="1:21" ht="19.5" x14ac:dyDescent="0.3">
      <c r="A93" s="121"/>
      <c r="B93" s="122" t="s">
        <v>45</v>
      </c>
      <c r="C93" s="24"/>
      <c r="D93" s="123"/>
      <c r="E93" s="24"/>
      <c r="F93" s="24"/>
      <c r="G93" s="27"/>
      <c r="H93" s="185" t="s">
        <v>46</v>
      </c>
      <c r="I93" s="511">
        <f t="shared" ref="I93:J94" ca="1" si="57">I109</f>
        <v>30</v>
      </c>
      <c r="J93" s="511">
        <f t="shared" si="57"/>
        <v>0</v>
      </c>
      <c r="K93" s="474">
        <f t="shared" ref="K93:K94" ca="1" si="58">IF(I93&gt;0,J93*100/I93,0)</f>
        <v>0</v>
      </c>
      <c r="L93" s="512"/>
      <c r="M93" s="30"/>
      <c r="N93" s="30"/>
      <c r="O93" s="30"/>
      <c r="P93" s="30"/>
      <c r="Q93" s="30"/>
      <c r="R93" s="30"/>
      <c r="S93" s="30"/>
      <c r="T93" s="30"/>
      <c r="U93" s="30"/>
    </row>
    <row r="94" spans="1:21" ht="19.5" x14ac:dyDescent="0.3">
      <c r="A94" s="121"/>
      <c r="B94" s="24"/>
      <c r="C94" s="24"/>
      <c r="D94" s="123"/>
      <c r="E94" s="24"/>
      <c r="F94" s="24"/>
      <c r="G94" s="27"/>
      <c r="H94" s="185" t="s">
        <v>35</v>
      </c>
      <c r="I94" s="511">
        <f t="shared" ca="1" si="57"/>
        <v>10</v>
      </c>
      <c r="J94" s="511">
        <f t="shared" si="57"/>
        <v>0</v>
      </c>
      <c r="K94" s="474">
        <f t="shared" ca="1" si="58"/>
        <v>0</v>
      </c>
      <c r="L94" s="512"/>
      <c r="M94" s="30"/>
      <c r="N94" s="30"/>
      <c r="O94" s="30"/>
      <c r="P94" s="30"/>
      <c r="Q94" s="30"/>
      <c r="R94" s="30"/>
      <c r="S94" s="30"/>
      <c r="T94" s="30"/>
      <c r="U94" s="30"/>
    </row>
    <row r="95" spans="1:21" ht="19.5" x14ac:dyDescent="0.3">
      <c r="A95" s="126"/>
      <c r="B95" s="187"/>
      <c r="C95" s="186" t="s">
        <v>18</v>
      </c>
      <c r="D95" s="513" t="s">
        <v>19</v>
      </c>
      <c r="E95" s="187"/>
      <c r="F95" s="187"/>
      <c r="G95" s="39"/>
      <c r="H95" s="129" t="s">
        <v>14</v>
      </c>
      <c r="I95" s="41"/>
      <c r="J95" s="41"/>
      <c r="K95" s="42"/>
      <c r="L95" s="514">
        <f t="shared" ref="L95:N95" ca="1" si="59">L96+L97</f>
        <v>0</v>
      </c>
      <c r="M95" s="515">
        <f t="shared" ca="1" si="59"/>
        <v>0</v>
      </c>
      <c r="N95" s="515">
        <f t="shared" ca="1" si="59"/>
        <v>0</v>
      </c>
      <c r="O95" s="515">
        <f t="shared" ref="O95:O103" ca="1" si="60">IF(L95&gt;0,N95*100/L95,0)</f>
        <v>0</v>
      </c>
      <c r="P95" s="515">
        <f t="shared" ref="P95:P103" ca="1" si="61">IF(M95&gt;0,N95*100/M95,0)</f>
        <v>0</v>
      </c>
      <c r="Q95" s="515">
        <f t="shared" ref="Q95:S95" ca="1" si="62">Q96+Q97</f>
        <v>84420</v>
      </c>
      <c r="R95" s="515">
        <f t="shared" ca="1" si="62"/>
        <v>84420</v>
      </c>
      <c r="S95" s="515">
        <f t="shared" ca="1" si="62"/>
        <v>0</v>
      </c>
      <c r="T95" s="515">
        <f t="shared" ref="T95:T103" ca="1" si="63">IF(Q95&gt;0,S95*100/Q95,0)</f>
        <v>0</v>
      </c>
      <c r="U95" s="515">
        <f t="shared" ref="U95:U103" ca="1" si="64">IF(R95&gt;0,S95*100/R95,0)</f>
        <v>0</v>
      </c>
    </row>
    <row r="96" spans="1:21" ht="18.75" hidden="1" x14ac:dyDescent="0.25">
      <c r="A96" s="126"/>
      <c r="B96" s="187"/>
      <c r="C96" s="187"/>
      <c r="D96" s="187"/>
      <c r="E96" s="154" t="s">
        <v>20</v>
      </c>
      <c r="F96" s="187"/>
      <c r="G96" s="39"/>
      <c r="H96" s="155" t="s">
        <v>14</v>
      </c>
      <c r="I96" s="41"/>
      <c r="J96" s="41"/>
      <c r="K96" s="42"/>
      <c r="L96" s="483">
        <f t="shared" ref="L96:N97" si="65">L99+L102</f>
        <v>0</v>
      </c>
      <c r="M96" s="80">
        <f t="shared" si="65"/>
        <v>0</v>
      </c>
      <c r="N96" s="80">
        <f t="shared" si="65"/>
        <v>0</v>
      </c>
      <c r="O96" s="80">
        <f t="shared" si="60"/>
        <v>0</v>
      </c>
      <c r="P96" s="80">
        <f t="shared" si="61"/>
        <v>0</v>
      </c>
      <c r="Q96" s="80">
        <f t="shared" ref="Q96:S97" si="66">Q99+Q102</f>
        <v>0</v>
      </c>
      <c r="R96" s="80">
        <f t="shared" si="66"/>
        <v>0</v>
      </c>
      <c r="S96" s="80">
        <f t="shared" si="66"/>
        <v>0</v>
      </c>
      <c r="T96" s="80">
        <f t="shared" si="63"/>
        <v>0</v>
      </c>
      <c r="U96" s="80">
        <f t="shared" si="64"/>
        <v>0</v>
      </c>
    </row>
    <row r="97" spans="1:21" ht="18.75" hidden="1" x14ac:dyDescent="0.25">
      <c r="A97" s="126"/>
      <c r="B97" s="187"/>
      <c r="C97" s="187"/>
      <c r="D97" s="187"/>
      <c r="E97" s="254" t="s">
        <v>21</v>
      </c>
      <c r="F97" s="187"/>
      <c r="G97" s="39"/>
      <c r="H97" s="131" t="s">
        <v>14</v>
      </c>
      <c r="I97" s="41"/>
      <c r="J97" s="41"/>
      <c r="K97" s="42"/>
      <c r="L97" s="481">
        <f t="shared" ca="1" si="65"/>
        <v>0</v>
      </c>
      <c r="M97" s="230">
        <f t="shared" ca="1" si="65"/>
        <v>0</v>
      </c>
      <c r="N97" s="230">
        <f t="shared" ca="1" si="65"/>
        <v>0</v>
      </c>
      <c r="O97" s="230">
        <f t="shared" ca="1" si="60"/>
        <v>0</v>
      </c>
      <c r="P97" s="230">
        <f t="shared" ca="1" si="61"/>
        <v>0</v>
      </c>
      <c r="Q97" s="230">
        <f t="shared" ca="1" si="66"/>
        <v>84420</v>
      </c>
      <c r="R97" s="230">
        <f t="shared" ca="1" si="66"/>
        <v>84420</v>
      </c>
      <c r="S97" s="230">
        <f t="shared" ca="1" si="66"/>
        <v>0</v>
      </c>
      <c r="T97" s="230">
        <f t="shared" ca="1" si="63"/>
        <v>0</v>
      </c>
      <c r="U97" s="230">
        <f t="shared" ca="1" si="64"/>
        <v>0</v>
      </c>
    </row>
    <row r="98" spans="1:21" ht="18.75" x14ac:dyDescent="0.25">
      <c r="A98" s="126"/>
      <c r="B98" s="187"/>
      <c r="C98" s="187"/>
      <c r="D98" s="38" t="s">
        <v>22</v>
      </c>
      <c r="E98" s="187"/>
      <c r="F98" s="187"/>
      <c r="G98" s="39"/>
      <c r="H98" s="132" t="s">
        <v>14</v>
      </c>
      <c r="I98" s="133"/>
      <c r="J98" s="133"/>
      <c r="K98" s="134"/>
      <c r="L98" s="481">
        <f t="shared" ref="L98:N98" ca="1" si="67">L99+L100</f>
        <v>0</v>
      </c>
      <c r="M98" s="230">
        <f t="shared" ca="1" si="67"/>
        <v>0</v>
      </c>
      <c r="N98" s="230">
        <f t="shared" ca="1" si="67"/>
        <v>0</v>
      </c>
      <c r="O98" s="230">
        <f t="shared" ca="1" si="60"/>
        <v>0</v>
      </c>
      <c r="P98" s="230">
        <f t="shared" ca="1" si="61"/>
        <v>0</v>
      </c>
      <c r="Q98" s="230">
        <f t="shared" ref="Q98:S98" ca="1" si="68">Q99+Q100</f>
        <v>84420</v>
      </c>
      <c r="R98" s="230">
        <f t="shared" ca="1" si="68"/>
        <v>84420</v>
      </c>
      <c r="S98" s="230">
        <f t="shared" ca="1" si="68"/>
        <v>0</v>
      </c>
      <c r="T98" s="230">
        <f t="shared" ca="1" si="63"/>
        <v>0</v>
      </c>
      <c r="U98" s="230">
        <f t="shared" ca="1" si="64"/>
        <v>0</v>
      </c>
    </row>
    <row r="99" spans="1:21" ht="18.75" hidden="1" x14ac:dyDescent="0.25">
      <c r="A99" s="126"/>
      <c r="B99" s="187"/>
      <c r="C99" s="187"/>
      <c r="D99" s="187"/>
      <c r="E99" s="154" t="s">
        <v>36</v>
      </c>
      <c r="F99" s="187"/>
      <c r="G99" s="39"/>
      <c r="H99" s="157" t="s">
        <v>14</v>
      </c>
      <c r="I99" s="133"/>
      <c r="J99" s="133"/>
      <c r="K99" s="134"/>
      <c r="L99" s="483">
        <v>0</v>
      </c>
      <c r="M99" s="80">
        <v>0</v>
      </c>
      <c r="N99" s="80">
        <v>0</v>
      </c>
      <c r="O99" s="80">
        <f t="shared" si="60"/>
        <v>0</v>
      </c>
      <c r="P99" s="80">
        <f t="shared" si="61"/>
        <v>0</v>
      </c>
      <c r="Q99" s="80">
        <v>0</v>
      </c>
      <c r="R99" s="80">
        <v>0</v>
      </c>
      <c r="S99" s="80">
        <v>0</v>
      </c>
      <c r="T99" s="80">
        <f t="shared" si="63"/>
        <v>0</v>
      </c>
      <c r="U99" s="80">
        <f t="shared" si="64"/>
        <v>0</v>
      </c>
    </row>
    <row r="100" spans="1:21" ht="18.75" hidden="1" x14ac:dyDescent="0.25">
      <c r="A100" s="126"/>
      <c r="B100" s="187"/>
      <c r="C100" s="187"/>
      <c r="D100" s="187"/>
      <c r="E100" s="254" t="s">
        <v>37</v>
      </c>
      <c r="F100" s="187"/>
      <c r="G100" s="39"/>
      <c r="H100" s="132" t="s">
        <v>14</v>
      </c>
      <c r="I100" s="133"/>
      <c r="J100" s="133"/>
      <c r="K100" s="134"/>
      <c r="L100" s="481">
        <f ca="1">IFERROR(__xludf.DUMMYFUNCTION("IMPORTRANGE(""https://docs.google.com/spreadsheets/d/1-uDff_7J0KD5mKrp0Vvzr7lt3OU09vwQwhkpOPPYv2Y/edit?usp=sharing"",""งบพรบ!AW21"")"),0)</f>
        <v>0</v>
      </c>
      <c r="M100" s="230">
        <f ca="1">IFERROR(__xludf.DUMMYFUNCTION("IMPORTRANGE(""https://docs.google.com/spreadsheets/d/1-uDff_7J0KD5mKrp0Vvzr7lt3OU09vwQwhkpOPPYv2Y/edit?usp=sharing"",""งบพรบ!BB21"")"),0)</f>
        <v>0</v>
      </c>
      <c r="N100" s="230">
        <f ca="1">IFERROR(__xludf.DUMMYFUNCTION("IMPORTRANGE(""https://docs.google.com/spreadsheets/d/1-uDff_7J0KD5mKrp0Vvzr7lt3OU09vwQwhkpOPPYv2Y/edit?usp=sharing"",""งบพรบ!BD21"")"),0)</f>
        <v>0</v>
      </c>
      <c r="O100" s="230">
        <f t="shared" ca="1" si="60"/>
        <v>0</v>
      </c>
      <c r="P100" s="230">
        <f t="shared" ca="1" si="61"/>
        <v>0</v>
      </c>
      <c r="Q100" s="230">
        <f ca="1">IFERROR(__xludf.DUMMYFUNCTION("IMPORTRANGE(""https://docs.google.com/spreadsheets/d/1ItG2mGa2ceCfYo0BwxsXqNm01IGEUdYcSSLTEv9YCik/edit?usp=sharing"",""เบิกจ่ายกองทุน!AD21"")"),84420)</f>
        <v>84420</v>
      </c>
      <c r="R100" s="230">
        <f ca="1">IFERROR(__xludf.DUMMYFUNCTION("IMPORTRANGE(""https://docs.google.com/spreadsheets/d/1ItG2mGa2ceCfYo0BwxsXqNm01IGEUdYcSSLTEv9YCik/edit?usp=sharing"",""เบิกจ่ายกองทุน!AE21"")"),84420)</f>
        <v>84420</v>
      </c>
      <c r="S100" s="230">
        <f ca="1">IFERROR(__xludf.DUMMYFUNCTION("IMPORTRANGE(""https://docs.google.com/spreadsheets/d/1ItG2mGa2ceCfYo0BwxsXqNm01IGEUdYcSSLTEv9YCik/edit?usp=sharing"",""เบิกจ่ายกองทุน!AF21"")"),0)</f>
        <v>0</v>
      </c>
      <c r="T100" s="230">
        <f t="shared" ca="1" si="63"/>
        <v>0</v>
      </c>
      <c r="U100" s="230">
        <f t="shared" ca="1" si="64"/>
        <v>0</v>
      </c>
    </row>
    <row r="101" spans="1:21" ht="18.75" x14ac:dyDescent="0.25">
      <c r="A101" s="126"/>
      <c r="B101" s="187"/>
      <c r="C101" s="187"/>
      <c r="D101" s="38" t="s">
        <v>23</v>
      </c>
      <c r="E101" s="187"/>
      <c r="F101" s="187"/>
      <c r="G101" s="39"/>
      <c r="H101" s="135" t="s">
        <v>14</v>
      </c>
      <c r="I101" s="133"/>
      <c r="J101" s="133"/>
      <c r="K101" s="134"/>
      <c r="L101" s="481">
        <f t="shared" ref="L101:N101" ca="1" si="69">L102+L103</f>
        <v>0</v>
      </c>
      <c r="M101" s="230">
        <f t="shared" ca="1" si="69"/>
        <v>0</v>
      </c>
      <c r="N101" s="230">
        <f t="shared" ca="1" si="69"/>
        <v>0</v>
      </c>
      <c r="O101" s="230">
        <f t="shared" ca="1" si="60"/>
        <v>0</v>
      </c>
      <c r="P101" s="230">
        <f t="shared" ca="1" si="61"/>
        <v>0</v>
      </c>
      <c r="Q101" s="230">
        <f t="shared" ref="Q101:S101" si="70">Q102+Q103</f>
        <v>0</v>
      </c>
      <c r="R101" s="230">
        <f t="shared" si="70"/>
        <v>0</v>
      </c>
      <c r="S101" s="230">
        <f t="shared" si="70"/>
        <v>0</v>
      </c>
      <c r="T101" s="230">
        <f t="shared" si="63"/>
        <v>0</v>
      </c>
      <c r="U101" s="230">
        <f t="shared" si="64"/>
        <v>0</v>
      </c>
    </row>
    <row r="102" spans="1:21" ht="18.75" hidden="1" x14ac:dyDescent="0.25">
      <c r="A102" s="126"/>
      <c r="B102" s="187"/>
      <c r="C102" s="187"/>
      <c r="D102" s="187"/>
      <c r="E102" s="154" t="s">
        <v>20</v>
      </c>
      <c r="F102" s="187"/>
      <c r="G102" s="39"/>
      <c r="H102" s="157" t="s">
        <v>14</v>
      </c>
      <c r="I102" s="133"/>
      <c r="J102" s="133"/>
      <c r="K102" s="134"/>
      <c r="L102" s="483">
        <v>0</v>
      </c>
      <c r="M102" s="80">
        <v>0</v>
      </c>
      <c r="N102" s="80">
        <v>0</v>
      </c>
      <c r="O102" s="80">
        <f t="shared" si="60"/>
        <v>0</v>
      </c>
      <c r="P102" s="80">
        <f t="shared" si="61"/>
        <v>0</v>
      </c>
      <c r="Q102" s="80">
        <v>0</v>
      </c>
      <c r="R102" s="80">
        <v>0</v>
      </c>
      <c r="S102" s="80">
        <v>0</v>
      </c>
      <c r="T102" s="80">
        <f t="shared" si="63"/>
        <v>0</v>
      </c>
      <c r="U102" s="80">
        <f t="shared" si="64"/>
        <v>0</v>
      </c>
    </row>
    <row r="103" spans="1:21" ht="18.75" hidden="1" x14ac:dyDescent="0.25">
      <c r="A103" s="126"/>
      <c r="B103" s="187"/>
      <c r="C103" s="187"/>
      <c r="D103" s="187"/>
      <c r="E103" s="254" t="s">
        <v>21</v>
      </c>
      <c r="F103" s="187"/>
      <c r="G103" s="39"/>
      <c r="H103" s="135" t="s">
        <v>14</v>
      </c>
      <c r="I103" s="133"/>
      <c r="J103" s="133"/>
      <c r="K103" s="134"/>
      <c r="L103" s="481">
        <f ca="1">IFERROR(__xludf.DUMMYFUNCTION("IMPORTRANGE(""https://docs.google.com/spreadsheets/d/1-uDff_7J0KD5mKrp0Vvzr7lt3OU09vwQwhkpOPPYv2Y/edit?usp=sharing"",""งบพรบ!AZ21"")"),0)</f>
        <v>0</v>
      </c>
      <c r="M103" s="230">
        <f ca="1">IFERROR(__xludf.DUMMYFUNCTION("IMPORTRANGE(""https://docs.google.com/spreadsheets/d/1-uDff_7J0KD5mKrp0Vvzr7lt3OU09vwQwhkpOPPYv2Y/edit?usp=sharing"",""งบพรบ!BC21"")"),0)</f>
        <v>0</v>
      </c>
      <c r="N103" s="230">
        <f ca="1">IFERROR(__xludf.DUMMYFUNCTION("IMPORTRANGE(""https://docs.google.com/spreadsheets/d/1-uDff_7J0KD5mKrp0Vvzr7lt3OU09vwQwhkpOPPYv2Y/edit?usp=sharing"",""งบพรบ!BE21"")"),0)</f>
        <v>0</v>
      </c>
      <c r="O103" s="230">
        <f t="shared" ca="1" si="60"/>
        <v>0</v>
      </c>
      <c r="P103" s="230">
        <f t="shared" ca="1" si="61"/>
        <v>0</v>
      </c>
      <c r="Q103" s="230">
        <v>0</v>
      </c>
      <c r="R103" s="230">
        <v>0</v>
      </c>
      <c r="S103" s="230">
        <v>0</v>
      </c>
      <c r="T103" s="230">
        <f t="shared" si="63"/>
        <v>0</v>
      </c>
      <c r="U103" s="230">
        <f t="shared" si="64"/>
        <v>0</v>
      </c>
    </row>
    <row r="104" spans="1:21" ht="19.5" x14ac:dyDescent="0.3">
      <c r="A104" s="136"/>
      <c r="B104" s="137"/>
      <c r="C104" s="186" t="s">
        <v>18</v>
      </c>
      <c r="D104" s="516" t="s">
        <v>38</v>
      </c>
      <c r="E104" s="139"/>
      <c r="F104" s="139"/>
      <c r="G104" s="140"/>
      <c r="H104" s="141"/>
      <c r="I104" s="133"/>
      <c r="J104" s="41"/>
      <c r="K104" s="42"/>
      <c r="L104" s="484"/>
      <c r="M104" s="42"/>
      <c r="N104" s="42"/>
      <c r="O104" s="134"/>
      <c r="P104" s="134"/>
      <c r="Q104" s="42"/>
      <c r="R104" s="42"/>
      <c r="S104" s="42"/>
      <c r="T104" s="134"/>
      <c r="U104" s="134"/>
    </row>
    <row r="105" spans="1:21" ht="12.75" hidden="1" x14ac:dyDescent="0.2">
      <c r="A105" s="160"/>
      <c r="B105" s="161"/>
      <c r="C105" s="161"/>
      <c r="D105" s="15"/>
      <c r="E105" s="15"/>
      <c r="F105" s="15"/>
      <c r="G105" s="16"/>
      <c r="H105" s="16"/>
      <c r="I105" s="17"/>
      <c r="J105" s="17"/>
      <c r="K105" s="18"/>
      <c r="L105" s="471"/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1:21" ht="12.75" hidden="1" x14ac:dyDescent="0.2">
      <c r="A106" s="160"/>
      <c r="B106" s="161"/>
      <c r="C106" s="161"/>
      <c r="D106" s="15"/>
      <c r="E106" s="15"/>
      <c r="F106" s="15"/>
      <c r="G106" s="16"/>
      <c r="H106" s="16"/>
      <c r="I106" s="17"/>
      <c r="J106" s="17"/>
      <c r="K106" s="18"/>
      <c r="L106" s="471"/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1:21" ht="12.75" hidden="1" x14ac:dyDescent="0.2">
      <c r="A107" s="160"/>
      <c r="B107" s="161"/>
      <c r="C107" s="161"/>
      <c r="D107" s="161"/>
      <c r="E107" s="15"/>
      <c r="F107" s="15"/>
      <c r="G107" s="16"/>
      <c r="H107" s="16"/>
      <c r="I107" s="17"/>
      <c r="J107" s="17"/>
      <c r="K107" s="18"/>
      <c r="L107" s="471"/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1:21" ht="19.5" hidden="1" x14ac:dyDescent="0.3">
      <c r="A108" s="136"/>
      <c r="B108" s="137"/>
      <c r="C108" s="137"/>
      <c r="D108" s="285" t="s">
        <v>47</v>
      </c>
      <c r="E108" s="163"/>
      <c r="F108" s="167"/>
      <c r="G108" s="141"/>
      <c r="H108" s="39"/>
      <c r="I108" s="41"/>
      <c r="J108" s="41"/>
      <c r="K108" s="42"/>
      <c r="L108" s="484"/>
      <c r="M108" s="42"/>
      <c r="N108" s="42"/>
      <c r="O108" s="134"/>
      <c r="P108" s="134"/>
      <c r="Q108" s="42"/>
      <c r="R108" s="42"/>
      <c r="S108" s="42"/>
      <c r="T108" s="134"/>
      <c r="U108" s="134"/>
    </row>
    <row r="109" spans="1:21" ht="18.75" x14ac:dyDescent="0.25">
      <c r="A109" s="136"/>
      <c r="B109" s="137"/>
      <c r="C109" s="137"/>
      <c r="D109" s="164" t="s">
        <v>48</v>
      </c>
      <c r="E109" s="167"/>
      <c r="F109" s="167"/>
      <c r="G109" s="141"/>
      <c r="H109" s="40" t="s">
        <v>46</v>
      </c>
      <c r="I109" s="189">
        <f ca="1">IFERROR(__xludf.DUMMYFUNCTION("IMPORTRANGE(""https://docs.google.com/spreadsheets/d/1eHaY18a8A9IcSdp1K8H6x8fbOy06t2VsZHhMHf-1x7Y/edit?usp=sharing"",""แผน!N21"")"),30)</f>
        <v>30</v>
      </c>
      <c r="J109" s="520">
        <v>0</v>
      </c>
      <c r="K109" s="230">
        <f t="shared" ref="K109:K110" ca="1" si="71">IF(I109&gt;0,J109*100/I109,0)</f>
        <v>0</v>
      </c>
      <c r="L109" s="484"/>
      <c r="M109" s="42"/>
      <c r="N109" s="42"/>
      <c r="O109" s="134"/>
      <c r="P109" s="134"/>
      <c r="Q109" s="42"/>
      <c r="R109" s="42"/>
      <c r="S109" s="42"/>
      <c r="T109" s="134"/>
      <c r="U109" s="134"/>
    </row>
    <row r="110" spans="1:21" ht="18.75" x14ac:dyDescent="0.25">
      <c r="A110" s="136"/>
      <c r="B110" s="137"/>
      <c r="C110" s="137"/>
      <c r="D110" s="164" t="s">
        <v>49</v>
      </c>
      <c r="E110" s="167"/>
      <c r="F110" s="167"/>
      <c r="G110" s="141"/>
      <c r="H110" s="40" t="s">
        <v>35</v>
      </c>
      <c r="I110" s="189">
        <f ca="1">IFERROR(__xludf.DUMMYFUNCTION("IMPORTRANGE(""https://docs.google.com/spreadsheets/d/1eHaY18a8A9IcSdp1K8H6x8fbOy06t2VsZHhMHf-1x7Y/edit?usp=sharing"",""แผน!O21"")"),10)</f>
        <v>10</v>
      </c>
      <c r="J110" s="520">
        <v>0</v>
      </c>
      <c r="K110" s="230">
        <f t="shared" ca="1" si="71"/>
        <v>0</v>
      </c>
      <c r="L110" s="484"/>
      <c r="M110" s="42"/>
      <c r="N110" s="42"/>
      <c r="O110" s="134"/>
      <c r="P110" s="134"/>
      <c r="Q110" s="42"/>
      <c r="R110" s="42"/>
      <c r="S110" s="42"/>
      <c r="T110" s="134"/>
      <c r="U110" s="134"/>
    </row>
    <row r="111" spans="1:21" ht="12.75" hidden="1" x14ac:dyDescent="0.2">
      <c r="A111" s="160"/>
      <c r="B111" s="161"/>
      <c r="C111" s="161"/>
      <c r="D111" s="15"/>
      <c r="E111" s="15"/>
      <c r="F111" s="15"/>
      <c r="G111" s="16"/>
      <c r="H111" s="16"/>
      <c r="I111" s="17"/>
      <c r="J111" s="17"/>
      <c r="K111" s="18"/>
      <c r="L111" s="471"/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1:21" ht="12.75" hidden="1" x14ac:dyDescent="0.2">
      <c r="A112" s="160"/>
      <c r="B112" s="161"/>
      <c r="C112" s="161"/>
      <c r="D112" s="15"/>
      <c r="E112" s="15"/>
      <c r="F112" s="15"/>
      <c r="G112" s="16"/>
      <c r="H112" s="16"/>
      <c r="I112" s="17"/>
      <c r="J112" s="17"/>
      <c r="K112" s="18"/>
      <c r="L112" s="471"/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1:21" ht="12.75" hidden="1" x14ac:dyDescent="0.2">
      <c r="A113" s="160"/>
      <c r="B113" s="161"/>
      <c r="C113" s="161"/>
      <c r="D113" s="15"/>
      <c r="E113" s="15"/>
      <c r="F113" s="15"/>
      <c r="G113" s="16"/>
      <c r="H113" s="16"/>
      <c r="I113" s="17"/>
      <c r="J113" s="17"/>
      <c r="K113" s="18"/>
      <c r="L113" s="471"/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1:21" ht="18.75" x14ac:dyDescent="0.25">
      <c r="A114" s="713"/>
      <c r="B114" s="714"/>
      <c r="C114" s="714"/>
      <c r="D114" s="715" t="s">
        <v>50</v>
      </c>
      <c r="E114" s="716"/>
      <c r="F114" s="716"/>
      <c r="G114" s="717"/>
      <c r="H114" s="718" t="s">
        <v>46</v>
      </c>
      <c r="I114" s="719">
        <f ca="1">IFERROR(__xludf.DUMMYFUNCTION("IMPORTRANGE(""https://docs.google.com/spreadsheets/d/1eHaY18a8A9IcSdp1K8H6x8fbOy06t2VsZHhMHf-1x7Y/edit?usp=sharing"",""แผน!S21"")"),0)</f>
        <v>0</v>
      </c>
      <c r="J114" s="612">
        <v>0</v>
      </c>
      <c r="K114" s="613">
        <f t="shared" ref="K114:K115" ca="1" si="72">IF(I114&gt;0,J114*100/I114,0)</f>
        <v>0</v>
      </c>
      <c r="L114" s="720"/>
      <c r="M114" s="720"/>
      <c r="N114" s="720"/>
      <c r="O114" s="721"/>
      <c r="P114" s="721"/>
      <c r="Q114" s="720"/>
      <c r="R114" s="720"/>
      <c r="S114" s="720"/>
      <c r="T114" s="721"/>
      <c r="U114" s="721"/>
    </row>
    <row r="115" spans="1:21" ht="18.75" x14ac:dyDescent="0.25">
      <c r="A115" s="136"/>
      <c r="B115" s="137"/>
      <c r="C115" s="137"/>
      <c r="D115" s="167"/>
      <c r="E115" s="167"/>
      <c r="F115" s="167"/>
      <c r="G115" s="141"/>
      <c r="H115" s="232" t="s">
        <v>35</v>
      </c>
      <c r="I115" s="519">
        <f ca="1">IFERROR(__xludf.DUMMYFUNCTION("IMPORTRANGE(""https://docs.google.com/spreadsheets/d/1eHaY18a8A9IcSdp1K8H6x8fbOy06t2VsZHhMHf-1x7Y/edit?usp=sharing"",""แผน!R21"")"),10)</f>
        <v>10</v>
      </c>
      <c r="J115" s="520">
        <v>0</v>
      </c>
      <c r="K115" s="230">
        <f t="shared" ca="1" si="72"/>
        <v>0</v>
      </c>
      <c r="L115" s="42"/>
      <c r="M115" s="42"/>
      <c r="N115" s="42"/>
      <c r="O115" s="134"/>
      <c r="P115" s="134"/>
      <c r="Q115" s="42"/>
      <c r="R115" s="42"/>
      <c r="S115" s="42"/>
      <c r="T115" s="134"/>
      <c r="U115" s="134"/>
    </row>
    <row r="116" spans="1:21" ht="19.5" x14ac:dyDescent="0.3">
      <c r="A116" s="522" t="s">
        <v>51</v>
      </c>
      <c r="B116" s="523"/>
      <c r="C116" s="524"/>
      <c r="D116" s="525"/>
      <c r="E116" s="525"/>
      <c r="F116" s="525"/>
      <c r="G116" s="525"/>
      <c r="H116" s="523"/>
      <c r="I116" s="526"/>
      <c r="J116" s="526"/>
      <c r="K116" s="527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</row>
    <row r="117" spans="1:21" ht="19.5" x14ac:dyDescent="0.3">
      <c r="A117" s="121"/>
      <c r="B117" s="172" t="s">
        <v>52</v>
      </c>
      <c r="C117" s="173"/>
      <c r="D117" s="123"/>
      <c r="E117" s="24"/>
      <c r="F117" s="24"/>
      <c r="G117" s="27"/>
      <c r="H117" s="174" t="s">
        <v>35</v>
      </c>
      <c r="I117" s="511">
        <f t="shared" ref="I117:J117" ca="1" si="73">I128</f>
        <v>20</v>
      </c>
      <c r="J117" s="511">
        <f t="shared" si="73"/>
        <v>0</v>
      </c>
      <c r="K117" s="474">
        <f ca="1">IF(I117&gt;0,J117*100/I117,0)</f>
        <v>0</v>
      </c>
      <c r="L117" s="512"/>
      <c r="M117" s="30"/>
      <c r="N117" s="30"/>
      <c r="O117" s="30"/>
      <c r="P117" s="30"/>
      <c r="Q117" s="30"/>
      <c r="R117" s="30"/>
      <c r="S117" s="30"/>
      <c r="T117" s="30"/>
      <c r="U117" s="30"/>
    </row>
    <row r="118" spans="1:21" ht="19.5" x14ac:dyDescent="0.3">
      <c r="A118" s="126"/>
      <c r="B118" s="156"/>
      <c r="C118" s="336" t="s">
        <v>18</v>
      </c>
      <c r="D118" s="513" t="s">
        <v>19</v>
      </c>
      <c r="E118" s="187"/>
      <c r="F118" s="187"/>
      <c r="G118" s="39"/>
      <c r="H118" s="129" t="s">
        <v>14</v>
      </c>
      <c r="I118" s="41"/>
      <c r="J118" s="41"/>
      <c r="K118" s="42"/>
      <c r="L118" s="514">
        <f t="shared" ref="L118:N118" ca="1" si="74">L119+L120</f>
        <v>0</v>
      </c>
      <c r="M118" s="515">
        <f t="shared" ca="1" si="74"/>
        <v>0</v>
      </c>
      <c r="N118" s="515">
        <f t="shared" ca="1" si="74"/>
        <v>0</v>
      </c>
      <c r="O118" s="515">
        <f t="shared" ref="O118:O126" ca="1" si="75">IF(L118&gt;0,N118*100/L118,0)</f>
        <v>0</v>
      </c>
      <c r="P118" s="515">
        <f t="shared" ref="P118:P126" ca="1" si="76">IF(M118&gt;0,N118*100/M118,0)</f>
        <v>0</v>
      </c>
      <c r="Q118" s="515">
        <f t="shared" ref="Q118:S118" ca="1" si="77">Q119+Q120</f>
        <v>209360</v>
      </c>
      <c r="R118" s="515">
        <f t="shared" ca="1" si="77"/>
        <v>209360</v>
      </c>
      <c r="S118" s="515">
        <f t="shared" ca="1" si="77"/>
        <v>13000</v>
      </c>
      <c r="T118" s="515">
        <f t="shared" ref="T118:T126" ca="1" si="78">IF(Q118&gt;0,S118*100/Q118,0)</f>
        <v>6.2094000764233854</v>
      </c>
      <c r="U118" s="515">
        <f t="shared" ref="U118:U126" ca="1" si="79">IF(R118&gt;0,S118*100/R118,0)</f>
        <v>6.2094000764233854</v>
      </c>
    </row>
    <row r="119" spans="1:21" ht="18.75" hidden="1" x14ac:dyDescent="0.25">
      <c r="A119" s="126"/>
      <c r="B119" s="156"/>
      <c r="C119" s="156"/>
      <c r="D119" s="156"/>
      <c r="E119" s="154" t="s">
        <v>20</v>
      </c>
      <c r="F119" s="187"/>
      <c r="G119" s="39"/>
      <c r="H119" s="155" t="s">
        <v>14</v>
      </c>
      <c r="I119" s="41"/>
      <c r="J119" s="41"/>
      <c r="K119" s="42"/>
      <c r="L119" s="483">
        <f t="shared" ref="L119:N120" si="80">L122+L125</f>
        <v>0</v>
      </c>
      <c r="M119" s="80">
        <f t="shared" si="80"/>
        <v>0</v>
      </c>
      <c r="N119" s="80">
        <f t="shared" si="80"/>
        <v>0</v>
      </c>
      <c r="O119" s="80">
        <f t="shared" si="75"/>
        <v>0</v>
      </c>
      <c r="P119" s="80">
        <f t="shared" si="76"/>
        <v>0</v>
      </c>
      <c r="Q119" s="80">
        <f t="shared" ref="Q119:S120" si="81">Q122+Q125</f>
        <v>0</v>
      </c>
      <c r="R119" s="80">
        <f t="shared" si="81"/>
        <v>0</v>
      </c>
      <c r="S119" s="80">
        <f t="shared" si="81"/>
        <v>0</v>
      </c>
      <c r="T119" s="80">
        <f t="shared" si="78"/>
        <v>0</v>
      </c>
      <c r="U119" s="80">
        <f t="shared" si="79"/>
        <v>0</v>
      </c>
    </row>
    <row r="120" spans="1:21" ht="18.75" hidden="1" x14ac:dyDescent="0.25">
      <c r="A120" s="126"/>
      <c r="B120" s="156"/>
      <c r="C120" s="156"/>
      <c r="D120" s="156"/>
      <c r="E120" s="254" t="s">
        <v>21</v>
      </c>
      <c r="F120" s="187"/>
      <c r="G120" s="39"/>
      <c r="H120" s="131" t="s">
        <v>14</v>
      </c>
      <c r="I120" s="41"/>
      <c r="J120" s="41"/>
      <c r="K120" s="42"/>
      <c r="L120" s="481">
        <f t="shared" ca="1" si="80"/>
        <v>0</v>
      </c>
      <c r="M120" s="230">
        <f t="shared" ca="1" si="80"/>
        <v>0</v>
      </c>
      <c r="N120" s="230">
        <f t="shared" ca="1" si="80"/>
        <v>0</v>
      </c>
      <c r="O120" s="230">
        <f t="shared" ca="1" si="75"/>
        <v>0</v>
      </c>
      <c r="P120" s="230">
        <f t="shared" ca="1" si="76"/>
        <v>0</v>
      </c>
      <c r="Q120" s="230">
        <f t="shared" ca="1" si="81"/>
        <v>209360</v>
      </c>
      <c r="R120" s="230">
        <f t="shared" ca="1" si="81"/>
        <v>209360</v>
      </c>
      <c r="S120" s="230">
        <f t="shared" ca="1" si="81"/>
        <v>13000</v>
      </c>
      <c r="T120" s="230">
        <f t="shared" ca="1" si="78"/>
        <v>6.2094000764233854</v>
      </c>
      <c r="U120" s="230">
        <f t="shared" ca="1" si="79"/>
        <v>6.2094000764233854</v>
      </c>
    </row>
    <row r="121" spans="1:21" ht="18.75" x14ac:dyDescent="0.25">
      <c r="A121" s="126"/>
      <c r="B121" s="156"/>
      <c r="C121" s="175"/>
      <c r="D121" s="528" t="s">
        <v>22</v>
      </c>
      <c r="E121" s="187"/>
      <c r="F121" s="187"/>
      <c r="G121" s="39"/>
      <c r="H121" s="176" t="s">
        <v>14</v>
      </c>
      <c r="I121" s="41"/>
      <c r="J121" s="41"/>
      <c r="K121" s="42"/>
      <c r="L121" s="481">
        <f t="shared" ref="L121:N121" ca="1" si="82">L122+L123</f>
        <v>0</v>
      </c>
      <c r="M121" s="230">
        <f t="shared" ca="1" si="82"/>
        <v>0</v>
      </c>
      <c r="N121" s="230">
        <f t="shared" ca="1" si="82"/>
        <v>0</v>
      </c>
      <c r="O121" s="230">
        <f t="shared" ca="1" si="75"/>
        <v>0</v>
      </c>
      <c r="P121" s="230">
        <f t="shared" ca="1" si="76"/>
        <v>0</v>
      </c>
      <c r="Q121" s="230">
        <f t="shared" ref="Q121:S121" ca="1" si="83">Q122+Q123</f>
        <v>209360</v>
      </c>
      <c r="R121" s="230">
        <f t="shared" ca="1" si="83"/>
        <v>209360</v>
      </c>
      <c r="S121" s="230">
        <f t="shared" ca="1" si="83"/>
        <v>13000</v>
      </c>
      <c r="T121" s="230">
        <f t="shared" ca="1" si="78"/>
        <v>6.2094000764233854</v>
      </c>
      <c r="U121" s="230">
        <f t="shared" ca="1" si="79"/>
        <v>6.2094000764233854</v>
      </c>
    </row>
    <row r="122" spans="1:21" ht="18.75" hidden="1" x14ac:dyDescent="0.25">
      <c r="A122" s="126"/>
      <c r="B122" s="156"/>
      <c r="C122" s="175"/>
      <c r="D122" s="156"/>
      <c r="E122" s="154" t="s">
        <v>36</v>
      </c>
      <c r="F122" s="187"/>
      <c r="G122" s="39"/>
      <c r="H122" s="177" t="s">
        <v>14</v>
      </c>
      <c r="I122" s="41"/>
      <c r="J122" s="41"/>
      <c r="K122" s="42"/>
      <c r="L122" s="483">
        <v>0</v>
      </c>
      <c r="M122" s="80">
        <v>0</v>
      </c>
      <c r="N122" s="80">
        <v>0</v>
      </c>
      <c r="O122" s="80">
        <f t="shared" si="75"/>
        <v>0</v>
      </c>
      <c r="P122" s="80">
        <f t="shared" si="76"/>
        <v>0</v>
      </c>
      <c r="Q122" s="80">
        <v>0</v>
      </c>
      <c r="R122" s="80">
        <v>0</v>
      </c>
      <c r="S122" s="80">
        <v>0</v>
      </c>
      <c r="T122" s="80">
        <f t="shared" si="78"/>
        <v>0</v>
      </c>
      <c r="U122" s="80">
        <f t="shared" si="79"/>
        <v>0</v>
      </c>
    </row>
    <row r="123" spans="1:21" ht="18.75" hidden="1" x14ac:dyDescent="0.25">
      <c r="A123" s="126"/>
      <c r="B123" s="156"/>
      <c r="C123" s="175"/>
      <c r="D123" s="156"/>
      <c r="E123" s="254" t="s">
        <v>37</v>
      </c>
      <c r="F123" s="187"/>
      <c r="G123" s="39"/>
      <c r="H123" s="176" t="s">
        <v>14</v>
      </c>
      <c r="I123" s="41"/>
      <c r="J123" s="41"/>
      <c r="K123" s="42"/>
      <c r="L123" s="481">
        <f ca="1">IFERROR(__xludf.DUMMYFUNCTION("IMPORTRANGE(""https://docs.google.com/spreadsheets/d/1-uDff_7J0KD5mKrp0Vvzr7lt3OU09vwQwhkpOPPYv2Y/edit?usp=sharing"",""งบพรบ!BG21"")"),0)</f>
        <v>0</v>
      </c>
      <c r="M123" s="230">
        <f ca="1">IFERROR(__xludf.DUMMYFUNCTION("IMPORTRANGE(""https://docs.google.com/spreadsheets/d/1-uDff_7J0KD5mKrp0Vvzr7lt3OU09vwQwhkpOPPYv2Y/edit?usp=sharing"",""งบพรบ!BL21"")"),0)</f>
        <v>0</v>
      </c>
      <c r="N123" s="230">
        <f ca="1">IFERROR(__xludf.DUMMYFUNCTION("IMPORTRANGE(""https://docs.google.com/spreadsheets/d/1-uDff_7J0KD5mKrp0Vvzr7lt3OU09vwQwhkpOPPYv2Y/edit?usp=sharing"",""งบพรบ!BN21"")"),0)</f>
        <v>0</v>
      </c>
      <c r="O123" s="230">
        <f t="shared" ca="1" si="75"/>
        <v>0</v>
      </c>
      <c r="P123" s="230">
        <f t="shared" ca="1" si="76"/>
        <v>0</v>
      </c>
      <c r="Q123" s="230">
        <f ca="1">IFERROR(__xludf.DUMMYFUNCTION("IMPORTRANGE(""https://docs.google.com/spreadsheets/d/1ItG2mGa2ceCfYo0BwxsXqNm01IGEUdYcSSLTEv9YCik/edit?usp=sharing"",""เบิกจ่ายกองทุน!R21"")"),209360)</f>
        <v>209360</v>
      </c>
      <c r="R123" s="230">
        <f ca="1">IFERROR(__xludf.DUMMYFUNCTION("IMPORTRANGE(""https://docs.google.com/spreadsheets/d/1ItG2mGa2ceCfYo0BwxsXqNm01IGEUdYcSSLTEv9YCik/edit?usp=sharing"",""เบิกจ่ายกองทุน!S21"")"),209360)</f>
        <v>209360</v>
      </c>
      <c r="S123" s="230">
        <f ca="1">IFERROR(__xludf.DUMMYFUNCTION("IMPORTRANGE(""https://docs.google.com/spreadsheets/d/1ItG2mGa2ceCfYo0BwxsXqNm01IGEUdYcSSLTEv9YCik/edit?usp=sharing"",""เบิกจ่ายกองทุน!T21"")"),13000)</f>
        <v>13000</v>
      </c>
      <c r="T123" s="230">
        <f t="shared" ca="1" si="78"/>
        <v>6.2094000764233854</v>
      </c>
      <c r="U123" s="230">
        <f t="shared" ca="1" si="79"/>
        <v>6.2094000764233854</v>
      </c>
    </row>
    <row r="124" spans="1:21" ht="18.75" x14ac:dyDescent="0.25">
      <c r="A124" s="126"/>
      <c r="B124" s="187"/>
      <c r="C124" s="175"/>
      <c r="D124" s="528" t="s">
        <v>23</v>
      </c>
      <c r="E124" s="187"/>
      <c r="F124" s="187"/>
      <c r="G124" s="39"/>
      <c r="H124" s="131" t="s">
        <v>14</v>
      </c>
      <c r="I124" s="41"/>
      <c r="J124" s="41"/>
      <c r="K124" s="42"/>
      <c r="L124" s="481">
        <f t="shared" ref="L124:N124" ca="1" si="84">L125+L126</f>
        <v>0</v>
      </c>
      <c r="M124" s="230">
        <f t="shared" ca="1" si="84"/>
        <v>0</v>
      </c>
      <c r="N124" s="230">
        <f t="shared" ca="1" si="84"/>
        <v>0</v>
      </c>
      <c r="O124" s="230">
        <f t="shared" ca="1" si="75"/>
        <v>0</v>
      </c>
      <c r="P124" s="230">
        <f t="shared" ca="1" si="76"/>
        <v>0</v>
      </c>
      <c r="Q124" s="230">
        <f t="shared" ref="Q124:S124" si="85">Q125+Q126</f>
        <v>0</v>
      </c>
      <c r="R124" s="230">
        <f t="shared" si="85"/>
        <v>0</v>
      </c>
      <c r="S124" s="230">
        <f t="shared" si="85"/>
        <v>0</v>
      </c>
      <c r="T124" s="230">
        <f t="shared" si="78"/>
        <v>0</v>
      </c>
      <c r="U124" s="230">
        <f t="shared" si="79"/>
        <v>0</v>
      </c>
    </row>
    <row r="125" spans="1:21" ht="18.75" hidden="1" x14ac:dyDescent="0.25">
      <c r="A125" s="126"/>
      <c r="B125" s="187"/>
      <c r="C125" s="175"/>
      <c r="D125" s="156"/>
      <c r="E125" s="154" t="s">
        <v>20</v>
      </c>
      <c r="F125" s="187"/>
      <c r="G125" s="39"/>
      <c r="H125" s="177" t="s">
        <v>14</v>
      </c>
      <c r="I125" s="41"/>
      <c r="J125" s="41"/>
      <c r="K125" s="42"/>
      <c r="L125" s="483">
        <v>0</v>
      </c>
      <c r="M125" s="80">
        <v>0</v>
      </c>
      <c r="N125" s="80">
        <v>0</v>
      </c>
      <c r="O125" s="80">
        <f t="shared" si="75"/>
        <v>0</v>
      </c>
      <c r="P125" s="80">
        <f t="shared" si="76"/>
        <v>0</v>
      </c>
      <c r="Q125" s="80">
        <v>0</v>
      </c>
      <c r="R125" s="80">
        <v>0</v>
      </c>
      <c r="S125" s="80">
        <v>0</v>
      </c>
      <c r="T125" s="80">
        <f t="shared" si="78"/>
        <v>0</v>
      </c>
      <c r="U125" s="80">
        <f t="shared" si="79"/>
        <v>0</v>
      </c>
    </row>
    <row r="126" spans="1:21" ht="18.75" hidden="1" x14ac:dyDescent="0.25">
      <c r="A126" s="126"/>
      <c r="B126" s="187"/>
      <c r="C126" s="187"/>
      <c r="D126" s="187"/>
      <c r="E126" s="254" t="s">
        <v>21</v>
      </c>
      <c r="F126" s="187"/>
      <c r="G126" s="39"/>
      <c r="H126" s="131" t="s">
        <v>14</v>
      </c>
      <c r="I126" s="41"/>
      <c r="J126" s="41"/>
      <c r="K126" s="42"/>
      <c r="L126" s="481">
        <f ca="1">IFERROR(__xludf.DUMMYFUNCTION("IMPORTRANGE(""https://docs.google.com/spreadsheets/d/1-uDff_7J0KD5mKrp0Vvzr7lt3OU09vwQwhkpOPPYv2Y/edit?usp=sharing"",""งบพรบ!BJ21"")"),0)</f>
        <v>0</v>
      </c>
      <c r="M126" s="230">
        <f ca="1">IFERROR(__xludf.DUMMYFUNCTION("IMPORTRANGE(""https://docs.google.com/spreadsheets/d/1-uDff_7J0KD5mKrp0Vvzr7lt3OU09vwQwhkpOPPYv2Y/edit?usp=sharing"",""งบพรบ!BM21"")"),0)</f>
        <v>0</v>
      </c>
      <c r="N126" s="230">
        <f ca="1">IFERROR(__xludf.DUMMYFUNCTION("IMPORTRANGE(""https://docs.google.com/spreadsheets/d/1-uDff_7J0KD5mKrp0Vvzr7lt3OU09vwQwhkpOPPYv2Y/edit?usp=sharing"",""งบพรบ!BO21"")"),0)</f>
        <v>0</v>
      </c>
      <c r="O126" s="230">
        <f t="shared" ca="1" si="75"/>
        <v>0</v>
      </c>
      <c r="P126" s="230">
        <f t="shared" ca="1" si="76"/>
        <v>0</v>
      </c>
      <c r="Q126" s="230">
        <v>0</v>
      </c>
      <c r="R126" s="230">
        <v>0</v>
      </c>
      <c r="S126" s="230">
        <v>0</v>
      </c>
      <c r="T126" s="230">
        <f t="shared" si="78"/>
        <v>0</v>
      </c>
      <c r="U126" s="230">
        <f t="shared" si="79"/>
        <v>0</v>
      </c>
    </row>
    <row r="127" spans="1:21" ht="19.5" x14ac:dyDescent="0.3">
      <c r="A127" s="136"/>
      <c r="B127" s="137"/>
      <c r="C127" s="178" t="s">
        <v>18</v>
      </c>
      <c r="D127" s="516" t="s">
        <v>38</v>
      </c>
      <c r="E127" s="139"/>
      <c r="F127" s="139"/>
      <c r="G127" s="140"/>
      <c r="H127" s="179"/>
      <c r="I127" s="41"/>
      <c r="J127" s="41"/>
      <c r="K127" s="42"/>
      <c r="L127" s="484"/>
      <c r="M127" s="42"/>
      <c r="N127" s="42"/>
      <c r="O127" s="42"/>
      <c r="P127" s="42"/>
      <c r="Q127" s="42"/>
      <c r="R127" s="42"/>
      <c r="S127" s="42"/>
      <c r="T127" s="42"/>
      <c r="U127" s="42"/>
    </row>
    <row r="128" spans="1:21" ht="18.75" x14ac:dyDescent="0.25">
      <c r="A128" s="136"/>
      <c r="B128" s="137"/>
      <c r="C128" s="137"/>
      <c r="D128" s="164" t="s">
        <v>53</v>
      </c>
      <c r="E128" s="167"/>
      <c r="F128" s="167"/>
      <c r="G128" s="141"/>
      <c r="H128" s="131" t="s">
        <v>35</v>
      </c>
      <c r="I128" s="189">
        <f ca="1">IFERROR(__xludf.DUMMYFUNCTION("IMPORTRANGE(""https://docs.google.com/spreadsheets/d/1eHaY18a8A9IcSdp1K8H6x8fbOy06t2VsZHhMHf-1x7Y/edit?usp=sharing"",""แผน!FF21"")"),20)</f>
        <v>20</v>
      </c>
      <c r="J128" s="520">
        <v>0</v>
      </c>
      <c r="K128" s="230">
        <f t="shared" ref="K128:K131" ca="1" si="86">IF(I128&gt;0,J128*100/I128,0)</f>
        <v>0</v>
      </c>
      <c r="L128" s="484"/>
      <c r="M128" s="42"/>
      <c r="N128" s="42"/>
      <c r="O128" s="42"/>
      <c r="P128" s="42"/>
      <c r="Q128" s="42"/>
      <c r="R128" s="42"/>
      <c r="S128" s="42"/>
      <c r="T128" s="42"/>
      <c r="U128" s="42"/>
    </row>
    <row r="129" spans="1:21" ht="18.75" x14ac:dyDescent="0.25">
      <c r="A129" s="136"/>
      <c r="B129" s="137"/>
      <c r="C129" s="137"/>
      <c r="D129" s="167"/>
      <c r="E129" s="167"/>
      <c r="F129" s="167"/>
      <c r="G129" s="141"/>
      <c r="H129" s="131" t="s">
        <v>54</v>
      </c>
      <c r="I129" s="189">
        <f ca="1">IFERROR(__xludf.DUMMYFUNCTION("IMPORTRANGE(""https://docs.google.com/spreadsheets/d/1eHaY18a8A9IcSdp1K8H6x8fbOy06t2VsZHhMHf-1x7Y/edit?usp=sharing"",""แผน!FG21"")"),0)</f>
        <v>0</v>
      </c>
      <c r="J129" s="520">
        <v>0</v>
      </c>
      <c r="K129" s="230">
        <f t="shared" ca="1" si="86"/>
        <v>0</v>
      </c>
      <c r="L129" s="484"/>
      <c r="M129" s="42"/>
      <c r="N129" s="42"/>
      <c r="O129" s="42"/>
      <c r="P129" s="42"/>
      <c r="Q129" s="42"/>
      <c r="R129" s="42"/>
      <c r="S129" s="42"/>
      <c r="T129" s="42"/>
      <c r="U129" s="42"/>
    </row>
    <row r="130" spans="1:21" ht="18.75" x14ac:dyDescent="0.25">
      <c r="A130" s="136"/>
      <c r="B130" s="137"/>
      <c r="C130" s="137"/>
      <c r="D130" s="164" t="s">
        <v>55</v>
      </c>
      <c r="E130" s="167"/>
      <c r="F130" s="167"/>
      <c r="G130" s="141"/>
      <c r="H130" s="131" t="s">
        <v>35</v>
      </c>
      <c r="I130" s="189">
        <f ca="1">IFERROR(__xludf.DUMMYFUNCTION("IMPORTRANGE(""https://docs.google.com/spreadsheets/d/1eHaY18a8A9IcSdp1K8H6x8fbOy06t2VsZHhMHf-1x7Y/edit?usp=sharing"",""แผน!FH21"")"),20)</f>
        <v>20</v>
      </c>
      <c r="J130" s="520">
        <v>0</v>
      </c>
      <c r="K130" s="230">
        <f t="shared" ca="1" si="86"/>
        <v>0</v>
      </c>
      <c r="L130" s="484"/>
      <c r="M130" s="42"/>
      <c r="N130" s="42"/>
      <c r="O130" s="42"/>
      <c r="P130" s="42"/>
      <c r="Q130" s="42"/>
      <c r="R130" s="42"/>
      <c r="S130" s="42"/>
      <c r="T130" s="42"/>
      <c r="U130" s="42"/>
    </row>
    <row r="131" spans="1:21" ht="18.75" x14ac:dyDescent="0.25">
      <c r="A131" s="136"/>
      <c r="B131" s="137"/>
      <c r="C131" s="137"/>
      <c r="D131" s="167"/>
      <c r="E131" s="167"/>
      <c r="F131" s="167"/>
      <c r="G131" s="141"/>
      <c r="H131" s="131" t="s">
        <v>54</v>
      </c>
      <c r="I131" s="189">
        <f ca="1">IFERROR(__xludf.DUMMYFUNCTION("IMPORTRANGE(""https://docs.google.com/spreadsheets/d/1eHaY18a8A9IcSdp1K8H6x8fbOy06t2VsZHhMHf-1x7Y/edit?usp=sharing"",""แผน!FI21"")"),0)</f>
        <v>0</v>
      </c>
      <c r="J131" s="520">
        <v>0</v>
      </c>
      <c r="K131" s="230">
        <f t="shared" ca="1" si="86"/>
        <v>0</v>
      </c>
      <c r="L131" s="484"/>
      <c r="M131" s="42"/>
      <c r="N131" s="42"/>
      <c r="O131" s="42"/>
      <c r="P131" s="42"/>
      <c r="Q131" s="42"/>
      <c r="R131" s="42"/>
      <c r="S131" s="42"/>
      <c r="T131" s="42"/>
      <c r="U131" s="42"/>
    </row>
    <row r="132" spans="1:21" ht="18.75" hidden="1" x14ac:dyDescent="0.25">
      <c r="A132" s="136"/>
      <c r="B132" s="137"/>
      <c r="C132" s="137"/>
      <c r="D132" s="180" t="s">
        <v>56</v>
      </c>
      <c r="E132" s="167"/>
      <c r="F132" s="167"/>
      <c r="G132" s="141"/>
      <c r="H132" s="155" t="s">
        <v>35</v>
      </c>
      <c r="I132" s="41"/>
      <c r="J132" s="41"/>
      <c r="K132" s="42"/>
      <c r="L132" s="484"/>
      <c r="M132" s="42"/>
      <c r="N132" s="42"/>
      <c r="O132" s="42"/>
      <c r="P132" s="42"/>
      <c r="Q132" s="42"/>
      <c r="R132" s="42"/>
      <c r="S132" s="42"/>
      <c r="T132" s="42"/>
      <c r="U132" s="42"/>
    </row>
    <row r="133" spans="1:21" ht="18.75" hidden="1" x14ac:dyDescent="0.25">
      <c r="A133" s="136"/>
      <c r="B133" s="137"/>
      <c r="C133" s="137"/>
      <c r="D133" s="180" t="s">
        <v>57</v>
      </c>
      <c r="E133" s="167"/>
      <c r="F133" s="167"/>
      <c r="G133" s="141"/>
      <c r="H133" s="181"/>
      <c r="I133" s="41"/>
      <c r="J133" s="41"/>
      <c r="K133" s="42"/>
      <c r="L133" s="484"/>
      <c r="M133" s="42"/>
      <c r="N133" s="42"/>
      <c r="O133" s="42"/>
      <c r="P133" s="42"/>
      <c r="Q133" s="42"/>
      <c r="R133" s="42"/>
      <c r="S133" s="42"/>
      <c r="T133" s="42"/>
      <c r="U133" s="42"/>
    </row>
    <row r="134" spans="1:21" ht="12.75" hidden="1" x14ac:dyDescent="0.2">
      <c r="A134" s="160"/>
      <c r="B134" s="161"/>
      <c r="C134" s="161"/>
      <c r="D134" s="15"/>
      <c r="E134" s="15"/>
      <c r="F134" s="15"/>
      <c r="G134" s="16"/>
      <c r="H134" s="182"/>
      <c r="I134" s="17"/>
      <c r="J134" s="17"/>
      <c r="K134" s="18"/>
      <c r="L134" s="471"/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1:21" ht="19.5" hidden="1" x14ac:dyDescent="0.3">
      <c r="A135" s="115" t="s">
        <v>58</v>
      </c>
      <c r="B135" s="116"/>
      <c r="C135" s="169"/>
      <c r="D135" s="116"/>
      <c r="E135" s="116"/>
      <c r="F135" s="116"/>
      <c r="G135" s="116"/>
      <c r="H135" s="116"/>
      <c r="I135" s="170"/>
      <c r="J135" s="170"/>
      <c r="K135" s="171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</row>
    <row r="136" spans="1:21" ht="19.5" hidden="1" x14ac:dyDescent="0.3">
      <c r="A136" s="121"/>
      <c r="B136" s="122" t="s">
        <v>59</v>
      </c>
      <c r="C136" s="173"/>
      <c r="D136" s="123"/>
      <c r="E136" s="24"/>
      <c r="F136" s="24"/>
      <c r="G136" s="24"/>
      <c r="H136" s="24"/>
      <c r="I136" s="183"/>
      <c r="J136" s="29"/>
      <c r="K136" s="30"/>
      <c r="L136" s="512"/>
      <c r="M136" s="30"/>
      <c r="N136" s="30"/>
      <c r="O136" s="30"/>
      <c r="P136" s="30"/>
      <c r="Q136" s="30"/>
      <c r="R136" s="30"/>
      <c r="S136" s="30"/>
      <c r="T136" s="30"/>
      <c r="U136" s="30"/>
    </row>
    <row r="137" spans="1:21" ht="19.5" hidden="1" x14ac:dyDescent="0.3">
      <c r="A137" s="121"/>
      <c r="B137" s="24"/>
      <c r="C137" s="184" t="s">
        <v>60</v>
      </c>
      <c r="D137" s="123"/>
      <c r="E137" s="24"/>
      <c r="F137" s="24"/>
      <c r="G137" s="27"/>
      <c r="H137" s="185" t="s">
        <v>61</v>
      </c>
      <c r="I137" s="511">
        <f t="shared" ref="I137:J137" ca="1" si="87">I155</f>
        <v>0</v>
      </c>
      <c r="J137" s="511">
        <f t="shared" si="87"/>
        <v>0</v>
      </c>
      <c r="K137" s="474">
        <f t="shared" ref="K137:K139" ca="1" si="88">IF(I137&gt;0,J137*100/I137,0)</f>
        <v>0</v>
      </c>
      <c r="L137" s="512"/>
      <c r="M137" s="30"/>
      <c r="N137" s="30"/>
      <c r="O137" s="30"/>
      <c r="P137" s="30"/>
      <c r="Q137" s="30"/>
      <c r="R137" s="30"/>
      <c r="S137" s="30"/>
      <c r="T137" s="30"/>
      <c r="U137" s="30"/>
    </row>
    <row r="138" spans="1:21" ht="19.5" hidden="1" x14ac:dyDescent="0.3">
      <c r="A138" s="121"/>
      <c r="B138" s="24"/>
      <c r="C138" s="184" t="s">
        <v>62</v>
      </c>
      <c r="D138" s="123"/>
      <c r="E138" s="24"/>
      <c r="F138" s="24"/>
      <c r="G138" s="27"/>
      <c r="H138" s="185" t="s">
        <v>35</v>
      </c>
      <c r="I138" s="511">
        <f t="shared" ref="I138:J139" ca="1" si="89">I153</f>
        <v>0</v>
      </c>
      <c r="J138" s="511">
        <f t="shared" si="89"/>
        <v>0</v>
      </c>
      <c r="K138" s="474">
        <f t="shared" ca="1" si="88"/>
        <v>0</v>
      </c>
      <c r="L138" s="512"/>
      <c r="M138" s="30"/>
      <c r="N138" s="30"/>
      <c r="O138" s="30"/>
      <c r="P138" s="30"/>
      <c r="Q138" s="30"/>
      <c r="R138" s="30"/>
      <c r="S138" s="30"/>
      <c r="T138" s="30"/>
      <c r="U138" s="30"/>
    </row>
    <row r="139" spans="1:21" ht="19.5" hidden="1" x14ac:dyDescent="0.3">
      <c r="A139" s="121"/>
      <c r="B139" s="24"/>
      <c r="C139" s="173"/>
      <c r="D139" s="123"/>
      <c r="E139" s="24"/>
      <c r="F139" s="24"/>
      <c r="G139" s="27"/>
      <c r="H139" s="185" t="s">
        <v>54</v>
      </c>
      <c r="I139" s="511">
        <f t="shared" ca="1" si="89"/>
        <v>0</v>
      </c>
      <c r="J139" s="511">
        <f t="shared" si="89"/>
        <v>0</v>
      </c>
      <c r="K139" s="474">
        <f t="shared" ca="1" si="88"/>
        <v>0</v>
      </c>
      <c r="L139" s="512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ht="19.5" hidden="1" x14ac:dyDescent="0.3">
      <c r="A140" s="126"/>
      <c r="B140" s="187"/>
      <c r="C140" s="186" t="s">
        <v>18</v>
      </c>
      <c r="D140" s="513" t="s">
        <v>19</v>
      </c>
      <c r="E140" s="187"/>
      <c r="F140" s="187"/>
      <c r="G140" s="39"/>
      <c r="H140" s="129" t="s">
        <v>14</v>
      </c>
      <c r="I140" s="41"/>
      <c r="J140" s="41"/>
      <c r="K140" s="42"/>
      <c r="L140" s="514">
        <f t="shared" ref="L140:N140" ca="1" si="90">L141+L142</f>
        <v>0</v>
      </c>
      <c r="M140" s="515">
        <f t="shared" ca="1" si="90"/>
        <v>0</v>
      </c>
      <c r="N140" s="515">
        <f t="shared" ca="1" si="90"/>
        <v>0</v>
      </c>
      <c r="O140" s="515">
        <f t="shared" ref="O140:O148" ca="1" si="91">IF(L140&gt;0,N140*100/L140,0)</f>
        <v>0</v>
      </c>
      <c r="P140" s="515">
        <f t="shared" ref="P140:P148" ca="1" si="92">IF(M140&gt;0,N140*100/M140,0)</f>
        <v>0</v>
      </c>
      <c r="Q140" s="515">
        <f t="shared" ref="Q140:S140" ca="1" si="93">Q141+Q142</f>
        <v>0</v>
      </c>
      <c r="R140" s="515">
        <f t="shared" ca="1" si="93"/>
        <v>0</v>
      </c>
      <c r="S140" s="515">
        <f t="shared" ca="1" si="93"/>
        <v>0</v>
      </c>
      <c r="T140" s="515">
        <f t="shared" ref="T140:T148" ca="1" si="94">IF(Q140&gt;0,S140*100/Q140,0)</f>
        <v>0</v>
      </c>
      <c r="U140" s="515">
        <f t="shared" ref="U140:U148" ca="1" si="95">IF(R140&gt;0,S140*100/R140,0)</f>
        <v>0</v>
      </c>
    </row>
    <row r="141" spans="1:21" ht="18.75" hidden="1" x14ac:dyDescent="0.25">
      <c r="A141" s="126"/>
      <c r="B141" s="187"/>
      <c r="C141" s="187"/>
      <c r="D141" s="187"/>
      <c r="E141" s="154" t="s">
        <v>20</v>
      </c>
      <c r="F141" s="187"/>
      <c r="G141" s="39"/>
      <c r="H141" s="155" t="s">
        <v>14</v>
      </c>
      <c r="I141" s="41"/>
      <c r="J141" s="41"/>
      <c r="K141" s="42"/>
      <c r="L141" s="483">
        <f t="shared" ref="L141:N142" si="96">L144+L147</f>
        <v>0</v>
      </c>
      <c r="M141" s="80">
        <f t="shared" si="96"/>
        <v>0</v>
      </c>
      <c r="N141" s="80">
        <f t="shared" si="96"/>
        <v>0</v>
      </c>
      <c r="O141" s="80">
        <f t="shared" si="91"/>
        <v>0</v>
      </c>
      <c r="P141" s="80">
        <f t="shared" si="92"/>
        <v>0</v>
      </c>
      <c r="Q141" s="80">
        <f t="shared" ref="Q141:S142" si="97">Q144+Q147</f>
        <v>0</v>
      </c>
      <c r="R141" s="80">
        <f t="shared" si="97"/>
        <v>0</v>
      </c>
      <c r="S141" s="80">
        <f t="shared" si="97"/>
        <v>0</v>
      </c>
      <c r="T141" s="80">
        <f t="shared" si="94"/>
        <v>0</v>
      </c>
      <c r="U141" s="80">
        <f t="shared" si="95"/>
        <v>0</v>
      </c>
    </row>
    <row r="142" spans="1:21" ht="18.75" hidden="1" x14ac:dyDescent="0.25">
      <c r="A142" s="126"/>
      <c r="B142" s="187"/>
      <c r="C142" s="187"/>
      <c r="D142" s="187"/>
      <c r="E142" s="254" t="s">
        <v>21</v>
      </c>
      <c r="F142" s="187"/>
      <c r="G142" s="39"/>
      <c r="H142" s="131" t="s">
        <v>14</v>
      </c>
      <c r="I142" s="41"/>
      <c r="J142" s="41"/>
      <c r="K142" s="42"/>
      <c r="L142" s="481">
        <f t="shared" ca="1" si="96"/>
        <v>0</v>
      </c>
      <c r="M142" s="230">
        <f t="shared" ca="1" si="96"/>
        <v>0</v>
      </c>
      <c r="N142" s="230">
        <f t="shared" ca="1" si="96"/>
        <v>0</v>
      </c>
      <c r="O142" s="230">
        <f t="shared" ca="1" si="91"/>
        <v>0</v>
      </c>
      <c r="P142" s="230">
        <f t="shared" ca="1" si="92"/>
        <v>0</v>
      </c>
      <c r="Q142" s="230">
        <f t="shared" ca="1" si="97"/>
        <v>0</v>
      </c>
      <c r="R142" s="230">
        <f t="shared" ca="1" si="97"/>
        <v>0</v>
      </c>
      <c r="S142" s="230">
        <f t="shared" ca="1" si="97"/>
        <v>0</v>
      </c>
      <c r="T142" s="230">
        <f t="shared" ca="1" si="94"/>
        <v>0</v>
      </c>
      <c r="U142" s="230">
        <f t="shared" ca="1" si="95"/>
        <v>0</v>
      </c>
    </row>
    <row r="143" spans="1:21" ht="18.75" hidden="1" x14ac:dyDescent="0.25">
      <c r="A143" s="126"/>
      <c r="B143" s="187"/>
      <c r="C143" s="187"/>
      <c r="D143" s="38" t="s">
        <v>22</v>
      </c>
      <c r="E143" s="187"/>
      <c r="F143" s="187"/>
      <c r="G143" s="39"/>
      <c r="H143" s="132" t="s">
        <v>14</v>
      </c>
      <c r="I143" s="133"/>
      <c r="J143" s="133"/>
      <c r="K143" s="134"/>
      <c r="L143" s="481">
        <f t="shared" ref="L143:N143" ca="1" si="98">L144+L145</f>
        <v>0</v>
      </c>
      <c r="M143" s="230">
        <f t="shared" ca="1" si="98"/>
        <v>0</v>
      </c>
      <c r="N143" s="230">
        <f t="shared" ca="1" si="98"/>
        <v>0</v>
      </c>
      <c r="O143" s="230">
        <f t="shared" ca="1" si="91"/>
        <v>0</v>
      </c>
      <c r="P143" s="230">
        <f t="shared" ca="1" si="92"/>
        <v>0</v>
      </c>
      <c r="Q143" s="230">
        <f t="shared" ref="Q143:S143" ca="1" si="99">Q144+Q145</f>
        <v>0</v>
      </c>
      <c r="R143" s="230">
        <f t="shared" ca="1" si="99"/>
        <v>0</v>
      </c>
      <c r="S143" s="230">
        <f t="shared" ca="1" si="99"/>
        <v>0</v>
      </c>
      <c r="T143" s="230">
        <f t="shared" ca="1" si="94"/>
        <v>0</v>
      </c>
      <c r="U143" s="230">
        <f t="shared" ca="1" si="95"/>
        <v>0</v>
      </c>
    </row>
    <row r="144" spans="1:21" ht="18.75" hidden="1" x14ac:dyDescent="0.25">
      <c r="A144" s="126"/>
      <c r="B144" s="187"/>
      <c r="C144" s="187"/>
      <c r="D144" s="187"/>
      <c r="E144" s="154" t="s">
        <v>36</v>
      </c>
      <c r="F144" s="187"/>
      <c r="G144" s="39"/>
      <c r="H144" s="157" t="s">
        <v>14</v>
      </c>
      <c r="I144" s="133"/>
      <c r="J144" s="133"/>
      <c r="K144" s="134"/>
      <c r="L144" s="483">
        <v>0</v>
      </c>
      <c r="M144" s="80">
        <v>0</v>
      </c>
      <c r="N144" s="80">
        <v>0</v>
      </c>
      <c r="O144" s="80">
        <f t="shared" si="91"/>
        <v>0</v>
      </c>
      <c r="P144" s="80">
        <f t="shared" si="92"/>
        <v>0</v>
      </c>
      <c r="Q144" s="80">
        <v>0</v>
      </c>
      <c r="R144" s="80">
        <v>0</v>
      </c>
      <c r="S144" s="80">
        <v>0</v>
      </c>
      <c r="T144" s="80">
        <f t="shared" si="94"/>
        <v>0</v>
      </c>
      <c r="U144" s="80">
        <f t="shared" si="95"/>
        <v>0</v>
      </c>
    </row>
    <row r="145" spans="1:21" ht="18.75" hidden="1" x14ac:dyDescent="0.25">
      <c r="A145" s="126"/>
      <c r="B145" s="187"/>
      <c r="C145" s="187"/>
      <c r="D145" s="187"/>
      <c r="E145" s="254" t="s">
        <v>37</v>
      </c>
      <c r="F145" s="187"/>
      <c r="G145" s="39"/>
      <c r="H145" s="132" t="s">
        <v>14</v>
      </c>
      <c r="I145" s="133"/>
      <c r="J145" s="133"/>
      <c r="K145" s="134"/>
      <c r="L145" s="481">
        <f ca="1">IFERROR(__xludf.DUMMYFUNCTION("IMPORTRANGE(""https://docs.google.com/spreadsheets/d/1-uDff_7J0KD5mKrp0Vvzr7lt3OU09vwQwhkpOPPYv2Y/edit?usp=sharing"",""งบพรบ!BQ21"")"),0)</f>
        <v>0</v>
      </c>
      <c r="M145" s="230">
        <f ca="1">IFERROR(__xludf.DUMMYFUNCTION("IMPORTRANGE(""https://docs.google.com/spreadsheets/d/1-uDff_7J0KD5mKrp0Vvzr7lt3OU09vwQwhkpOPPYv2Y/edit?usp=sharing"",""งบพรบ!BV21"")"),0)</f>
        <v>0</v>
      </c>
      <c r="N145" s="230">
        <f ca="1">IFERROR(__xludf.DUMMYFUNCTION("IMPORTRANGE(""https://docs.google.com/spreadsheets/d/1-uDff_7J0KD5mKrp0Vvzr7lt3OU09vwQwhkpOPPYv2Y/edit?usp=sharing"",""งบพรบ!BX21"")"),0)</f>
        <v>0</v>
      </c>
      <c r="O145" s="230">
        <f t="shared" ca="1" si="91"/>
        <v>0</v>
      </c>
      <c r="P145" s="230">
        <f t="shared" ca="1" si="92"/>
        <v>0</v>
      </c>
      <c r="Q145" s="230">
        <f ca="1">IFERROR(__xludf.DUMMYFUNCTION("IMPORTRANGE(""https://docs.google.com/spreadsheets/d/1ItG2mGa2ceCfYo0BwxsXqNm01IGEUdYcSSLTEv9YCik/edit?usp=sharing"",""เบิกจ่ายกองทุน!BB21"")"),0)</f>
        <v>0</v>
      </c>
      <c r="R145" s="230">
        <f ca="1">IFERROR(__xludf.DUMMYFUNCTION("IMPORTRANGE(""https://docs.google.com/spreadsheets/d/1ItG2mGa2ceCfYo0BwxsXqNm01IGEUdYcSSLTEv9YCik/edit?usp=sharing"",""เบิกจ่ายกองทุน!BC21"")"),0)</f>
        <v>0</v>
      </c>
      <c r="S145" s="230">
        <f ca="1">IFERROR(__xludf.DUMMYFUNCTION("IMPORTRANGE(""https://docs.google.com/spreadsheets/d/1ItG2mGa2ceCfYo0BwxsXqNm01IGEUdYcSSLTEv9YCik/edit?usp=sharing"",""เบิกจ่ายกองทุน!BD21"")"),0)</f>
        <v>0</v>
      </c>
      <c r="T145" s="230">
        <f t="shared" ca="1" si="94"/>
        <v>0</v>
      </c>
      <c r="U145" s="230">
        <f t="shared" ca="1" si="95"/>
        <v>0</v>
      </c>
    </row>
    <row r="146" spans="1:21" ht="18.75" hidden="1" x14ac:dyDescent="0.25">
      <c r="A146" s="126"/>
      <c r="B146" s="187"/>
      <c r="C146" s="187"/>
      <c r="D146" s="38" t="s">
        <v>23</v>
      </c>
      <c r="E146" s="187"/>
      <c r="F146" s="187"/>
      <c r="G146" s="39"/>
      <c r="H146" s="135" t="s">
        <v>14</v>
      </c>
      <c r="I146" s="133"/>
      <c r="J146" s="133"/>
      <c r="K146" s="134"/>
      <c r="L146" s="481">
        <f t="shared" ref="L146:N146" ca="1" si="100">L147+L148</f>
        <v>0</v>
      </c>
      <c r="M146" s="230">
        <f t="shared" ca="1" si="100"/>
        <v>0</v>
      </c>
      <c r="N146" s="230">
        <f t="shared" ca="1" si="100"/>
        <v>0</v>
      </c>
      <c r="O146" s="230">
        <f t="shared" ca="1" si="91"/>
        <v>0</v>
      </c>
      <c r="P146" s="230">
        <f t="shared" ca="1" si="92"/>
        <v>0</v>
      </c>
      <c r="Q146" s="230">
        <f t="shared" ref="Q146:S146" si="101">Q147+Q148</f>
        <v>0</v>
      </c>
      <c r="R146" s="230">
        <f t="shared" si="101"/>
        <v>0</v>
      </c>
      <c r="S146" s="230">
        <f t="shared" si="101"/>
        <v>0</v>
      </c>
      <c r="T146" s="230">
        <f t="shared" si="94"/>
        <v>0</v>
      </c>
      <c r="U146" s="230">
        <f t="shared" si="95"/>
        <v>0</v>
      </c>
    </row>
    <row r="147" spans="1:21" ht="18.75" hidden="1" x14ac:dyDescent="0.25">
      <c r="A147" s="126"/>
      <c r="B147" s="187"/>
      <c r="C147" s="187"/>
      <c r="D147" s="187"/>
      <c r="E147" s="154" t="s">
        <v>20</v>
      </c>
      <c r="F147" s="187"/>
      <c r="G147" s="39"/>
      <c r="H147" s="157" t="s">
        <v>14</v>
      </c>
      <c r="I147" s="133"/>
      <c r="J147" s="133"/>
      <c r="K147" s="134"/>
      <c r="L147" s="483">
        <v>0</v>
      </c>
      <c r="M147" s="80">
        <v>0</v>
      </c>
      <c r="N147" s="80">
        <v>0</v>
      </c>
      <c r="O147" s="80">
        <f t="shared" si="91"/>
        <v>0</v>
      </c>
      <c r="P147" s="80">
        <f t="shared" si="92"/>
        <v>0</v>
      </c>
      <c r="Q147" s="80">
        <v>0</v>
      </c>
      <c r="R147" s="80">
        <v>0</v>
      </c>
      <c r="S147" s="80">
        <v>0</v>
      </c>
      <c r="T147" s="80">
        <f t="shared" si="94"/>
        <v>0</v>
      </c>
      <c r="U147" s="80">
        <f t="shared" si="95"/>
        <v>0</v>
      </c>
    </row>
    <row r="148" spans="1:21" ht="18.75" hidden="1" x14ac:dyDescent="0.25">
      <c r="A148" s="126"/>
      <c r="B148" s="187"/>
      <c r="C148" s="187"/>
      <c r="D148" s="187"/>
      <c r="E148" s="254" t="s">
        <v>21</v>
      </c>
      <c r="F148" s="187"/>
      <c r="G148" s="39"/>
      <c r="H148" s="135" t="s">
        <v>14</v>
      </c>
      <c r="I148" s="133"/>
      <c r="J148" s="133"/>
      <c r="K148" s="134"/>
      <c r="L148" s="481">
        <f ca="1">IFERROR(__xludf.DUMMYFUNCTION("IMPORTRANGE(""https://docs.google.com/spreadsheets/d/1-uDff_7J0KD5mKrp0Vvzr7lt3OU09vwQwhkpOPPYv2Y/edit?usp=sharing"",""งบพรบ!BT21"")"),0)</f>
        <v>0</v>
      </c>
      <c r="M148" s="230">
        <f ca="1">IFERROR(__xludf.DUMMYFUNCTION("IMPORTRANGE(""https://docs.google.com/spreadsheets/d/1-uDff_7J0KD5mKrp0Vvzr7lt3OU09vwQwhkpOPPYv2Y/edit?usp=sharing"",""งบพรบ!BW21"")"),0)</f>
        <v>0</v>
      </c>
      <c r="N148" s="230">
        <f ca="1">IFERROR(__xludf.DUMMYFUNCTION("IMPORTRANGE(""https://docs.google.com/spreadsheets/d/1-uDff_7J0KD5mKrp0Vvzr7lt3OU09vwQwhkpOPPYv2Y/edit?usp=sharing"",""งบพรบ!BY21"")"),0)</f>
        <v>0</v>
      </c>
      <c r="O148" s="230">
        <f t="shared" ca="1" si="91"/>
        <v>0</v>
      </c>
      <c r="P148" s="230">
        <f t="shared" ca="1" si="92"/>
        <v>0</v>
      </c>
      <c r="Q148" s="230">
        <v>0</v>
      </c>
      <c r="R148" s="230">
        <v>0</v>
      </c>
      <c r="S148" s="230">
        <v>0</v>
      </c>
      <c r="T148" s="230">
        <f t="shared" si="94"/>
        <v>0</v>
      </c>
      <c r="U148" s="230">
        <f t="shared" si="95"/>
        <v>0</v>
      </c>
    </row>
    <row r="149" spans="1:21" ht="19.5" hidden="1" x14ac:dyDescent="0.3">
      <c r="A149" s="136"/>
      <c r="B149" s="137"/>
      <c r="C149" s="186" t="s">
        <v>18</v>
      </c>
      <c r="D149" s="516" t="s">
        <v>38</v>
      </c>
      <c r="E149" s="139"/>
      <c r="F149" s="139"/>
      <c r="G149" s="140"/>
      <c r="H149" s="179"/>
      <c r="I149" s="41"/>
      <c r="J149" s="41"/>
      <c r="K149" s="42"/>
      <c r="L149" s="484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 ht="18.75" hidden="1" x14ac:dyDescent="0.25">
      <c r="A150" s="126"/>
      <c r="B150" s="187"/>
      <c r="C150" s="187"/>
      <c r="D150" s="254" t="s">
        <v>63</v>
      </c>
      <c r="E150" s="187"/>
      <c r="F150" s="187"/>
      <c r="G150" s="39"/>
      <c r="H150" s="179"/>
      <c r="I150" s="41"/>
      <c r="J150" s="520">
        <v>0</v>
      </c>
      <c r="K150" s="42"/>
      <c r="L150" s="484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 ht="19.5" hidden="1" x14ac:dyDescent="0.3">
      <c r="A151" s="126"/>
      <c r="B151" s="187"/>
      <c r="C151" s="187"/>
      <c r="D151" s="167"/>
      <c r="E151" s="186" t="s">
        <v>64</v>
      </c>
      <c r="F151" s="187"/>
      <c r="G151" s="39"/>
      <c r="H151" s="135" t="s">
        <v>35</v>
      </c>
      <c r="I151" s="189">
        <f ca="1">IFERROR(__xludf.DUMMYFUNCTION("IMPORTRANGE(""https://docs.google.com/spreadsheets/d/1eHaY18a8A9IcSdp1K8H6x8fbOy06t2VsZHhMHf-1x7Y/edit?usp=sharing"",""แผน!U21"")"),0)</f>
        <v>0</v>
      </c>
      <c r="J151" s="520">
        <v>0</v>
      </c>
      <c r="K151" s="230">
        <f t="shared" ref="K151:K155" ca="1" si="102">IF(I151&gt;0,J151*100/I151,0)</f>
        <v>0</v>
      </c>
      <c r="L151" s="484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 ht="18.75" hidden="1" x14ac:dyDescent="0.25">
      <c r="A152" s="126"/>
      <c r="B152" s="187"/>
      <c r="C152" s="187"/>
      <c r="D152" s="167"/>
      <c r="E152" s="187"/>
      <c r="F152" s="187"/>
      <c r="G152" s="39"/>
      <c r="H152" s="135" t="s">
        <v>54</v>
      </c>
      <c r="I152" s="189">
        <f ca="1">IFERROR(__xludf.DUMMYFUNCTION("IMPORTRANGE(""https://docs.google.com/spreadsheets/d/1eHaY18a8A9IcSdp1K8H6x8fbOy06t2VsZHhMHf-1x7Y/edit?usp=sharing"",""แผน!V21"")"),0)</f>
        <v>0</v>
      </c>
      <c r="J152" s="520">
        <v>0</v>
      </c>
      <c r="K152" s="230">
        <f t="shared" ca="1" si="102"/>
        <v>0</v>
      </c>
      <c r="L152" s="484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 ht="19.5" hidden="1" x14ac:dyDescent="0.3">
      <c r="A153" s="126"/>
      <c r="B153" s="187"/>
      <c r="C153" s="187"/>
      <c r="D153" s="167"/>
      <c r="E153" s="186" t="s">
        <v>65</v>
      </c>
      <c r="F153" s="187"/>
      <c r="G153" s="39"/>
      <c r="H153" s="135" t="s">
        <v>35</v>
      </c>
      <c r="I153" s="189">
        <f ca="1">IFERROR(__xludf.DUMMYFUNCTION("IMPORTRANGE(""https://docs.google.com/spreadsheets/d/1eHaY18a8A9IcSdp1K8H6x8fbOy06t2VsZHhMHf-1x7Y/edit?usp=sharing"",""แผน!W21"")"),0)</f>
        <v>0</v>
      </c>
      <c r="J153" s="520">
        <v>0</v>
      </c>
      <c r="K153" s="230">
        <f t="shared" ca="1" si="102"/>
        <v>0</v>
      </c>
      <c r="L153" s="484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 ht="18.75" hidden="1" x14ac:dyDescent="0.25">
      <c r="A154" s="126"/>
      <c r="B154" s="187"/>
      <c r="C154" s="187"/>
      <c r="D154" s="187"/>
      <c r="E154" s="187"/>
      <c r="F154" s="187"/>
      <c r="G154" s="39"/>
      <c r="H154" s="135" t="s">
        <v>54</v>
      </c>
      <c r="I154" s="189">
        <f ca="1">IFERROR(__xludf.DUMMYFUNCTION("IMPORTRANGE(""https://docs.google.com/spreadsheets/d/1eHaY18a8A9IcSdp1K8H6x8fbOy06t2VsZHhMHf-1x7Y/edit?usp=sharing"",""แผน!X21"")"),0)</f>
        <v>0</v>
      </c>
      <c r="J154" s="520">
        <v>0</v>
      </c>
      <c r="K154" s="230">
        <f t="shared" ca="1" si="102"/>
        <v>0</v>
      </c>
      <c r="L154" s="484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 ht="18.75" hidden="1" x14ac:dyDescent="0.25">
      <c r="A155" s="126"/>
      <c r="B155" s="187"/>
      <c r="C155" s="187"/>
      <c r="D155" s="254" t="s">
        <v>66</v>
      </c>
      <c r="E155" s="187"/>
      <c r="F155" s="187"/>
      <c r="G155" s="39"/>
      <c r="H155" s="135" t="s">
        <v>61</v>
      </c>
      <c r="I155" s="189">
        <f ca="1">IFERROR(__xludf.DUMMYFUNCTION("IMPORTRANGE(""https://docs.google.com/spreadsheets/d/1eHaY18a8A9IcSdp1K8H6x8fbOy06t2VsZHhMHf-1x7Y/edit?usp=sharing"",""แผน!Y21"")"),0)</f>
        <v>0</v>
      </c>
      <c r="J155" s="520">
        <v>0</v>
      </c>
      <c r="K155" s="230">
        <f t="shared" ca="1" si="102"/>
        <v>0</v>
      </c>
      <c r="L155" s="484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 ht="19.5" hidden="1" x14ac:dyDescent="0.3">
      <c r="A156" s="115" t="s">
        <v>67</v>
      </c>
      <c r="B156" s="116"/>
      <c r="C156" s="169"/>
      <c r="D156" s="116"/>
      <c r="E156" s="116"/>
      <c r="F156" s="116"/>
      <c r="G156" s="116"/>
      <c r="H156" s="116"/>
      <c r="I156" s="170"/>
      <c r="J156" s="170"/>
      <c r="K156" s="171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</row>
    <row r="157" spans="1:21" ht="19.5" hidden="1" x14ac:dyDescent="0.3">
      <c r="A157" s="121"/>
      <c r="B157" s="122" t="s">
        <v>68</v>
      </c>
      <c r="C157" s="24"/>
      <c r="D157" s="24"/>
      <c r="E157" s="24"/>
      <c r="F157" s="24"/>
      <c r="G157" s="27"/>
      <c r="H157" s="174" t="s">
        <v>35</v>
      </c>
      <c r="I157" s="511">
        <f t="shared" ref="I157:J157" ca="1" si="103">I170</f>
        <v>0</v>
      </c>
      <c r="J157" s="511">
        <f t="shared" si="103"/>
        <v>0</v>
      </c>
      <c r="K157" s="474">
        <f ca="1">IF(I157&gt;0,J157*100/I157,0)</f>
        <v>0</v>
      </c>
      <c r="L157" s="512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ht="19.5" hidden="1" x14ac:dyDescent="0.3">
      <c r="A158" s="126"/>
      <c r="B158" s="187"/>
      <c r="C158" s="186" t="s">
        <v>18</v>
      </c>
      <c r="D158" s="513" t="s">
        <v>19</v>
      </c>
      <c r="E158" s="187"/>
      <c r="F158" s="187"/>
      <c r="G158" s="39"/>
      <c r="H158" s="129" t="s">
        <v>14</v>
      </c>
      <c r="I158" s="41"/>
      <c r="J158" s="41"/>
      <c r="K158" s="42"/>
      <c r="L158" s="514">
        <f t="shared" ref="L158:N158" ca="1" si="104">L159+L160</f>
        <v>0</v>
      </c>
      <c r="M158" s="515">
        <f t="shared" ca="1" si="104"/>
        <v>0</v>
      </c>
      <c r="N158" s="515">
        <f t="shared" ca="1" si="104"/>
        <v>0</v>
      </c>
      <c r="O158" s="515">
        <f t="shared" ref="O158:O166" ca="1" si="105">IF(L158&gt;0,N158*100/L158,0)</f>
        <v>0</v>
      </c>
      <c r="P158" s="515">
        <f t="shared" ref="P158:P166" ca="1" si="106">IF(M158&gt;0,N158*100/M158,0)</f>
        <v>0</v>
      </c>
      <c r="Q158" s="515">
        <f t="shared" ref="Q158:S158" ca="1" si="107">Q159+Q160</f>
        <v>0</v>
      </c>
      <c r="R158" s="515">
        <f t="shared" ca="1" si="107"/>
        <v>0</v>
      </c>
      <c r="S158" s="515">
        <f t="shared" ca="1" si="107"/>
        <v>0</v>
      </c>
      <c r="T158" s="515">
        <f t="shared" ref="T158:T166" ca="1" si="108">IF(Q158&gt;0,S158*100/Q158,0)</f>
        <v>0</v>
      </c>
      <c r="U158" s="515">
        <f t="shared" ref="U158:U166" ca="1" si="109">IF(R158&gt;0,S158*100/R158,0)</f>
        <v>0</v>
      </c>
    </row>
    <row r="159" spans="1:21" ht="18.75" hidden="1" x14ac:dyDescent="0.25">
      <c r="A159" s="126"/>
      <c r="B159" s="187"/>
      <c r="C159" s="187"/>
      <c r="D159" s="187"/>
      <c r="E159" s="154" t="s">
        <v>20</v>
      </c>
      <c r="F159" s="187"/>
      <c r="G159" s="39"/>
      <c r="H159" s="155" t="s">
        <v>14</v>
      </c>
      <c r="I159" s="41"/>
      <c r="J159" s="41"/>
      <c r="K159" s="42"/>
      <c r="L159" s="483">
        <f t="shared" ref="L159:N160" si="110">L162+L165</f>
        <v>0</v>
      </c>
      <c r="M159" s="80">
        <f t="shared" si="110"/>
        <v>0</v>
      </c>
      <c r="N159" s="80">
        <f t="shared" si="110"/>
        <v>0</v>
      </c>
      <c r="O159" s="80">
        <f t="shared" si="105"/>
        <v>0</v>
      </c>
      <c r="P159" s="80">
        <f t="shared" si="106"/>
        <v>0</v>
      </c>
      <c r="Q159" s="80">
        <f t="shared" ref="Q159:S160" si="111">Q162+Q165</f>
        <v>0</v>
      </c>
      <c r="R159" s="80">
        <f t="shared" si="111"/>
        <v>0</v>
      </c>
      <c r="S159" s="80">
        <f t="shared" si="111"/>
        <v>0</v>
      </c>
      <c r="T159" s="80">
        <f t="shared" si="108"/>
        <v>0</v>
      </c>
      <c r="U159" s="80">
        <f t="shared" si="109"/>
        <v>0</v>
      </c>
    </row>
    <row r="160" spans="1:21" ht="18.75" hidden="1" x14ac:dyDescent="0.25">
      <c r="A160" s="126"/>
      <c r="B160" s="187"/>
      <c r="C160" s="187"/>
      <c r="D160" s="187"/>
      <c r="E160" s="254" t="s">
        <v>21</v>
      </c>
      <c r="F160" s="187"/>
      <c r="G160" s="39"/>
      <c r="H160" s="131" t="s">
        <v>14</v>
      </c>
      <c r="I160" s="41"/>
      <c r="J160" s="41"/>
      <c r="K160" s="42"/>
      <c r="L160" s="481">
        <f t="shared" ca="1" si="110"/>
        <v>0</v>
      </c>
      <c r="M160" s="230">
        <f t="shared" ca="1" si="110"/>
        <v>0</v>
      </c>
      <c r="N160" s="230">
        <f t="shared" ca="1" si="110"/>
        <v>0</v>
      </c>
      <c r="O160" s="230">
        <f t="shared" ca="1" si="105"/>
        <v>0</v>
      </c>
      <c r="P160" s="230">
        <f t="shared" ca="1" si="106"/>
        <v>0</v>
      </c>
      <c r="Q160" s="230">
        <f t="shared" ca="1" si="111"/>
        <v>0</v>
      </c>
      <c r="R160" s="230">
        <f t="shared" ca="1" si="111"/>
        <v>0</v>
      </c>
      <c r="S160" s="230">
        <f t="shared" ca="1" si="111"/>
        <v>0</v>
      </c>
      <c r="T160" s="230">
        <f t="shared" ca="1" si="108"/>
        <v>0</v>
      </c>
      <c r="U160" s="230">
        <f t="shared" ca="1" si="109"/>
        <v>0</v>
      </c>
    </row>
    <row r="161" spans="1:21" ht="18.75" hidden="1" x14ac:dyDescent="0.25">
      <c r="A161" s="126"/>
      <c r="B161" s="187"/>
      <c r="C161" s="187"/>
      <c r="D161" s="38" t="s">
        <v>22</v>
      </c>
      <c r="E161" s="187"/>
      <c r="F161" s="187"/>
      <c r="G161" s="39"/>
      <c r="H161" s="132" t="s">
        <v>14</v>
      </c>
      <c r="I161" s="133"/>
      <c r="J161" s="133"/>
      <c r="K161" s="134"/>
      <c r="L161" s="481">
        <f t="shared" ref="L161:N161" ca="1" si="112">L162+L163</f>
        <v>0</v>
      </c>
      <c r="M161" s="230">
        <f t="shared" ca="1" si="112"/>
        <v>0</v>
      </c>
      <c r="N161" s="230">
        <f t="shared" ca="1" si="112"/>
        <v>0</v>
      </c>
      <c r="O161" s="230">
        <f t="shared" ca="1" si="105"/>
        <v>0</v>
      </c>
      <c r="P161" s="230">
        <f t="shared" ca="1" si="106"/>
        <v>0</v>
      </c>
      <c r="Q161" s="230">
        <f t="shared" ref="Q161:S161" ca="1" si="113">Q162+Q163</f>
        <v>0</v>
      </c>
      <c r="R161" s="230">
        <f t="shared" ca="1" si="113"/>
        <v>0</v>
      </c>
      <c r="S161" s="230">
        <f t="shared" ca="1" si="113"/>
        <v>0</v>
      </c>
      <c r="T161" s="230">
        <f t="shared" ca="1" si="108"/>
        <v>0</v>
      </c>
      <c r="U161" s="230">
        <f t="shared" ca="1" si="109"/>
        <v>0</v>
      </c>
    </row>
    <row r="162" spans="1:21" ht="18.75" hidden="1" x14ac:dyDescent="0.25">
      <c r="A162" s="126"/>
      <c r="B162" s="187"/>
      <c r="C162" s="187"/>
      <c r="D162" s="187"/>
      <c r="E162" s="154" t="s">
        <v>36</v>
      </c>
      <c r="F162" s="187"/>
      <c r="G162" s="39"/>
      <c r="H162" s="157" t="s">
        <v>14</v>
      </c>
      <c r="I162" s="133"/>
      <c r="J162" s="133"/>
      <c r="K162" s="134"/>
      <c r="L162" s="483">
        <v>0</v>
      </c>
      <c r="M162" s="80">
        <v>0</v>
      </c>
      <c r="N162" s="80">
        <v>0</v>
      </c>
      <c r="O162" s="80">
        <f t="shared" si="105"/>
        <v>0</v>
      </c>
      <c r="P162" s="80">
        <f t="shared" si="106"/>
        <v>0</v>
      </c>
      <c r="Q162" s="80">
        <v>0</v>
      </c>
      <c r="R162" s="80">
        <v>0</v>
      </c>
      <c r="S162" s="80">
        <v>0</v>
      </c>
      <c r="T162" s="80">
        <f t="shared" si="108"/>
        <v>0</v>
      </c>
      <c r="U162" s="80">
        <f t="shared" si="109"/>
        <v>0</v>
      </c>
    </row>
    <row r="163" spans="1:21" ht="18.75" hidden="1" x14ac:dyDescent="0.25">
      <c r="A163" s="126"/>
      <c r="B163" s="187"/>
      <c r="C163" s="187"/>
      <c r="D163" s="187"/>
      <c r="E163" s="254" t="s">
        <v>37</v>
      </c>
      <c r="F163" s="187"/>
      <c r="G163" s="39"/>
      <c r="H163" s="132" t="s">
        <v>14</v>
      </c>
      <c r="I163" s="133"/>
      <c r="J163" s="133"/>
      <c r="K163" s="134"/>
      <c r="L163" s="481">
        <f ca="1">IFERROR(__xludf.DUMMYFUNCTION("IMPORTRANGE(""https://docs.google.com/spreadsheets/d/1-uDff_7J0KD5mKrp0Vvzr7lt3OU09vwQwhkpOPPYv2Y/edit?usp=sharing"",""งบพรบ!CA21"")"),0)</f>
        <v>0</v>
      </c>
      <c r="M163" s="230">
        <f ca="1">IFERROR(__xludf.DUMMYFUNCTION("IMPORTRANGE(""https://docs.google.com/spreadsheets/d/1-uDff_7J0KD5mKrp0Vvzr7lt3OU09vwQwhkpOPPYv2Y/edit?usp=sharing"",""งบพรบ!CF21"")"),0)</f>
        <v>0</v>
      </c>
      <c r="N163" s="230">
        <f ca="1">IFERROR(__xludf.DUMMYFUNCTION("IMPORTRANGE(""https://docs.google.com/spreadsheets/d/1-uDff_7J0KD5mKrp0Vvzr7lt3OU09vwQwhkpOPPYv2Y/edit?usp=sharing"",""งบพรบ!CH21"")"),0)</f>
        <v>0</v>
      </c>
      <c r="O163" s="230">
        <f t="shared" ca="1" si="105"/>
        <v>0</v>
      </c>
      <c r="P163" s="230">
        <f t="shared" ca="1" si="106"/>
        <v>0</v>
      </c>
      <c r="Q163" s="230">
        <f ca="1">IFERROR(__xludf.DUMMYFUNCTION("IMPORTRANGE(""https://docs.google.com/spreadsheets/d/1ItG2mGa2ceCfYo0BwxsXqNm01IGEUdYcSSLTEv9YCik/edit?usp=sharing"",""เบิกจ่ายกองทุน!AG21"")"),0)</f>
        <v>0</v>
      </c>
      <c r="R163" s="230">
        <f ca="1">IFERROR(__xludf.DUMMYFUNCTION("IMPORTRANGE(""https://docs.google.com/spreadsheets/d/1ItG2mGa2ceCfYo0BwxsXqNm01IGEUdYcSSLTEv9YCik/edit?usp=sharing"",""เบิกจ่ายกองทุน!AH21"")"),0)</f>
        <v>0</v>
      </c>
      <c r="S163" s="230">
        <f ca="1">IFERROR(__xludf.DUMMYFUNCTION("IMPORTRANGE(""https://docs.google.com/spreadsheets/d/1ItG2mGa2ceCfYo0BwxsXqNm01IGEUdYcSSLTEv9YCik/edit?usp=sharing"",""เบิกจ่ายกองทุน!AI21"")"),0)</f>
        <v>0</v>
      </c>
      <c r="T163" s="230">
        <f t="shared" ca="1" si="108"/>
        <v>0</v>
      </c>
      <c r="U163" s="230">
        <f t="shared" ca="1" si="109"/>
        <v>0</v>
      </c>
    </row>
    <row r="164" spans="1:21" ht="18.75" hidden="1" x14ac:dyDescent="0.25">
      <c r="A164" s="126"/>
      <c r="B164" s="187"/>
      <c r="C164" s="187"/>
      <c r="D164" s="38" t="s">
        <v>23</v>
      </c>
      <c r="E164" s="187"/>
      <c r="F164" s="187"/>
      <c r="G164" s="39"/>
      <c r="H164" s="135" t="s">
        <v>14</v>
      </c>
      <c r="I164" s="133"/>
      <c r="J164" s="133"/>
      <c r="K164" s="134"/>
      <c r="L164" s="481">
        <f t="shared" ref="L164:N164" ca="1" si="114">L165+L166</f>
        <v>0</v>
      </c>
      <c r="M164" s="230">
        <f t="shared" ca="1" si="114"/>
        <v>0</v>
      </c>
      <c r="N164" s="230">
        <f t="shared" ca="1" si="114"/>
        <v>0</v>
      </c>
      <c r="O164" s="230">
        <f t="shared" ca="1" si="105"/>
        <v>0</v>
      </c>
      <c r="P164" s="230">
        <f t="shared" ca="1" si="106"/>
        <v>0</v>
      </c>
      <c r="Q164" s="230">
        <f t="shared" ref="Q164:S164" si="115">Q165+Q166</f>
        <v>0</v>
      </c>
      <c r="R164" s="230">
        <f t="shared" si="115"/>
        <v>0</v>
      </c>
      <c r="S164" s="230">
        <f t="shared" si="115"/>
        <v>0</v>
      </c>
      <c r="T164" s="230">
        <f t="shared" si="108"/>
        <v>0</v>
      </c>
      <c r="U164" s="230">
        <f t="shared" si="109"/>
        <v>0</v>
      </c>
    </row>
    <row r="165" spans="1:21" ht="18.75" hidden="1" x14ac:dyDescent="0.25">
      <c r="A165" s="126"/>
      <c r="B165" s="187"/>
      <c r="C165" s="187"/>
      <c r="D165" s="187"/>
      <c r="E165" s="154" t="s">
        <v>20</v>
      </c>
      <c r="F165" s="187"/>
      <c r="G165" s="39"/>
      <c r="H165" s="157" t="s">
        <v>14</v>
      </c>
      <c r="I165" s="133"/>
      <c r="J165" s="133"/>
      <c r="K165" s="134"/>
      <c r="L165" s="483">
        <v>0</v>
      </c>
      <c r="M165" s="80">
        <v>0</v>
      </c>
      <c r="N165" s="80">
        <v>0</v>
      </c>
      <c r="O165" s="80">
        <f t="shared" si="105"/>
        <v>0</v>
      </c>
      <c r="P165" s="80">
        <f t="shared" si="106"/>
        <v>0</v>
      </c>
      <c r="Q165" s="80">
        <v>0</v>
      </c>
      <c r="R165" s="80">
        <v>0</v>
      </c>
      <c r="S165" s="80">
        <v>0</v>
      </c>
      <c r="T165" s="80">
        <f t="shared" si="108"/>
        <v>0</v>
      </c>
      <c r="U165" s="80">
        <f t="shared" si="109"/>
        <v>0</v>
      </c>
    </row>
    <row r="166" spans="1:21" ht="18.75" hidden="1" x14ac:dyDescent="0.25">
      <c r="A166" s="126"/>
      <c r="B166" s="187"/>
      <c r="C166" s="187"/>
      <c r="D166" s="187"/>
      <c r="E166" s="254" t="s">
        <v>21</v>
      </c>
      <c r="F166" s="187"/>
      <c r="G166" s="39"/>
      <c r="H166" s="135" t="s">
        <v>14</v>
      </c>
      <c r="I166" s="133"/>
      <c r="J166" s="133"/>
      <c r="K166" s="134"/>
      <c r="L166" s="481">
        <f ca="1">IFERROR(__xludf.DUMMYFUNCTION("IMPORTRANGE(""https://docs.google.com/spreadsheets/d/1-uDff_7J0KD5mKrp0Vvzr7lt3OU09vwQwhkpOPPYv2Y/edit?usp=sharing"",""งบพรบ!CD21"")"),0)</f>
        <v>0</v>
      </c>
      <c r="M166" s="230">
        <f ca="1">IFERROR(__xludf.DUMMYFUNCTION("IMPORTRANGE(""https://docs.google.com/spreadsheets/d/1-uDff_7J0KD5mKrp0Vvzr7lt3OU09vwQwhkpOPPYv2Y/edit?usp=sharing"",""งบพรบ!CG21"")"),0)</f>
        <v>0</v>
      </c>
      <c r="N166" s="230">
        <f ca="1">IFERROR(__xludf.DUMMYFUNCTION("IMPORTRANGE(""https://docs.google.com/spreadsheets/d/1-uDff_7J0KD5mKrp0Vvzr7lt3OU09vwQwhkpOPPYv2Y/edit?usp=sharing"",""งบพรบ!CI21"")"),0)</f>
        <v>0</v>
      </c>
      <c r="O166" s="230">
        <f t="shared" ca="1" si="105"/>
        <v>0</v>
      </c>
      <c r="P166" s="230">
        <f t="shared" ca="1" si="106"/>
        <v>0</v>
      </c>
      <c r="Q166" s="230">
        <v>0</v>
      </c>
      <c r="R166" s="230">
        <v>0</v>
      </c>
      <c r="S166" s="230">
        <v>0</v>
      </c>
      <c r="T166" s="230">
        <f t="shared" si="108"/>
        <v>0</v>
      </c>
      <c r="U166" s="230">
        <f t="shared" si="109"/>
        <v>0</v>
      </c>
    </row>
    <row r="167" spans="1:21" ht="19.5" hidden="1" x14ac:dyDescent="0.3">
      <c r="A167" s="136"/>
      <c r="B167" s="137"/>
      <c r="C167" s="186" t="s">
        <v>18</v>
      </c>
      <c r="D167" s="516" t="s">
        <v>38</v>
      </c>
      <c r="E167" s="139"/>
      <c r="F167" s="139"/>
      <c r="G167" s="140"/>
      <c r="H167" s="179"/>
      <c r="I167" s="41"/>
      <c r="J167" s="41"/>
      <c r="K167" s="42"/>
      <c r="L167" s="484"/>
      <c r="M167" s="42"/>
      <c r="N167" s="42"/>
      <c r="O167" s="42"/>
      <c r="P167" s="42"/>
      <c r="Q167" s="42"/>
      <c r="R167" s="42"/>
      <c r="S167" s="42"/>
      <c r="T167" s="42"/>
      <c r="U167" s="42"/>
    </row>
    <row r="168" spans="1:21" ht="18.75" hidden="1" x14ac:dyDescent="0.25">
      <c r="A168" s="126"/>
      <c r="B168" s="187"/>
      <c r="C168" s="187"/>
      <c r="D168" s="254" t="s">
        <v>69</v>
      </c>
      <c r="E168" s="187"/>
      <c r="F168" s="187"/>
      <c r="G168" s="39"/>
      <c r="H168" s="135" t="s">
        <v>35</v>
      </c>
      <c r="I168" s="189">
        <f ca="1">IFERROR(__xludf.DUMMYFUNCTION("IMPORTRANGE(""https://docs.google.com/spreadsheets/d/1eHaY18a8A9IcSdp1K8H6x8fbOy06t2VsZHhMHf-1x7Y/edit?usp=sharing"",""แผน!Z21"")"),0)</f>
        <v>0</v>
      </c>
      <c r="J168" s="520">
        <v>0</v>
      </c>
      <c r="K168" s="230">
        <f t="shared" ref="K168:K170" ca="1" si="116">IF(I168&gt;0,J168*100/I168,0)</f>
        <v>0</v>
      </c>
      <c r="L168" s="484"/>
      <c r="M168" s="42"/>
      <c r="N168" s="42"/>
      <c r="O168" s="42"/>
      <c r="P168" s="42"/>
      <c r="Q168" s="42"/>
      <c r="R168" s="42"/>
      <c r="S168" s="42"/>
      <c r="T168" s="42"/>
      <c r="U168" s="42"/>
    </row>
    <row r="169" spans="1:21" ht="18.75" hidden="1" x14ac:dyDescent="0.25">
      <c r="A169" s="126"/>
      <c r="B169" s="187"/>
      <c r="C169" s="187"/>
      <c r="D169" s="154" t="s">
        <v>70</v>
      </c>
      <c r="E169" s="187"/>
      <c r="F169" s="187"/>
      <c r="G169" s="39"/>
      <c r="H169" s="387" t="s">
        <v>35</v>
      </c>
      <c r="I169" s="444">
        <f ca="1">IFERROR(__xludf.DUMMYFUNCTION("IMPORTRANGE(""https://docs.google.com/spreadsheets/d/1eHaY18a8A9IcSdp1K8H6x8fbOy06t2VsZHhMHf-1x7Y/edit?usp=sharing"",""แผน!Z21"")"),0)</f>
        <v>0</v>
      </c>
      <c r="J169" s="529">
        <v>0</v>
      </c>
      <c r="K169" s="80">
        <f t="shared" ca="1" si="116"/>
        <v>0</v>
      </c>
      <c r="L169" s="484"/>
      <c r="M169" s="42"/>
      <c r="N169" s="42"/>
      <c r="O169" s="42"/>
      <c r="P169" s="42"/>
      <c r="Q169" s="42"/>
      <c r="R169" s="42"/>
      <c r="S169" s="42"/>
      <c r="T169" s="42"/>
      <c r="U169" s="42"/>
    </row>
    <row r="170" spans="1:21" ht="18.75" hidden="1" x14ac:dyDescent="0.25">
      <c r="A170" s="190"/>
      <c r="B170" s="5"/>
      <c r="C170" s="5"/>
      <c r="D170" s="445" t="s">
        <v>71</v>
      </c>
      <c r="E170" s="5"/>
      <c r="F170" s="5"/>
      <c r="G170" s="49"/>
      <c r="H170" s="530" t="s">
        <v>35</v>
      </c>
      <c r="I170" s="447">
        <f ca="1">IFERROR(__xludf.DUMMYFUNCTION("IMPORTRANGE(""https://docs.google.com/spreadsheets/d/1eHaY18a8A9IcSdp1K8H6x8fbOy06t2VsZHhMHf-1x7Y/edit?usp=sharing"",""แผน!Z21"")"),0)</f>
        <v>0</v>
      </c>
      <c r="J170" s="531">
        <v>0</v>
      </c>
      <c r="K170" s="532">
        <f t="shared" ca="1" si="116"/>
        <v>0</v>
      </c>
      <c r="L170" s="485"/>
      <c r="M170" s="7"/>
      <c r="N170" s="7"/>
      <c r="O170" s="7"/>
      <c r="P170" s="7"/>
      <c r="Q170" s="7"/>
      <c r="R170" s="7"/>
      <c r="S170" s="7"/>
      <c r="T170" s="7"/>
      <c r="U170" s="7"/>
    </row>
    <row r="171" spans="1:21" ht="19.5" x14ac:dyDescent="0.3">
      <c r="A171" s="195" t="s">
        <v>72</v>
      </c>
      <c r="B171" s="196"/>
      <c r="C171" s="196"/>
      <c r="D171" s="196"/>
      <c r="E171" s="197"/>
      <c r="F171" s="197"/>
      <c r="G171" s="197"/>
      <c r="H171" s="197"/>
      <c r="I171" s="198"/>
      <c r="J171" s="198"/>
      <c r="K171" s="199"/>
      <c r="L171" s="199"/>
      <c r="M171" s="199"/>
      <c r="N171" s="199"/>
      <c r="O171" s="199"/>
      <c r="P171" s="200"/>
      <c r="Q171" s="199"/>
      <c r="R171" s="199"/>
      <c r="S171" s="199"/>
      <c r="T171" s="199"/>
      <c r="U171" s="200"/>
    </row>
    <row r="172" spans="1:21" ht="19.5" x14ac:dyDescent="0.3">
      <c r="A172" s="201" t="s">
        <v>73</v>
      </c>
      <c r="B172" s="202"/>
      <c r="C172" s="202"/>
      <c r="D172" s="203"/>
      <c r="E172" s="203"/>
      <c r="F172" s="203"/>
      <c r="G172" s="203"/>
      <c r="H172" s="204"/>
      <c r="I172" s="205"/>
      <c r="J172" s="205"/>
      <c r="K172" s="206"/>
      <c r="L172" s="533"/>
      <c r="M172" s="206"/>
      <c r="N172" s="206"/>
      <c r="O172" s="206"/>
      <c r="P172" s="206"/>
      <c r="Q172" s="206"/>
      <c r="R172" s="206"/>
      <c r="S172" s="206"/>
      <c r="T172" s="206"/>
      <c r="U172" s="206"/>
    </row>
    <row r="173" spans="1:21" ht="19.5" x14ac:dyDescent="0.3">
      <c r="A173" s="207"/>
      <c r="B173" s="311" t="s">
        <v>74</v>
      </c>
      <c r="C173" s="209"/>
      <c r="D173" s="139"/>
      <c r="E173" s="139"/>
      <c r="F173" s="139"/>
      <c r="G173" s="140"/>
      <c r="H173" s="210" t="s">
        <v>35</v>
      </c>
      <c r="I173" s="534">
        <f t="shared" ref="I173:J173" ca="1" si="117">I184+I185</f>
        <v>7</v>
      </c>
      <c r="J173" s="534">
        <f t="shared" si="117"/>
        <v>7</v>
      </c>
      <c r="K173" s="535">
        <f ca="1">IF(I173&gt;0,J173*100/I173,0)</f>
        <v>100</v>
      </c>
      <c r="L173" s="536"/>
      <c r="M173" s="213"/>
      <c r="N173" s="213"/>
      <c r="O173" s="213"/>
      <c r="P173" s="213"/>
      <c r="Q173" s="213"/>
      <c r="R173" s="213"/>
      <c r="S173" s="213"/>
      <c r="T173" s="213"/>
      <c r="U173" s="213"/>
    </row>
    <row r="174" spans="1:21" ht="19.5" x14ac:dyDescent="0.3">
      <c r="A174" s="126"/>
      <c r="B174" s="187"/>
      <c r="C174" s="186" t="s">
        <v>18</v>
      </c>
      <c r="D174" s="513" t="s">
        <v>19</v>
      </c>
      <c r="E174" s="187"/>
      <c r="F174" s="187"/>
      <c r="G174" s="39"/>
      <c r="H174" s="129" t="s">
        <v>14</v>
      </c>
      <c r="I174" s="41"/>
      <c r="J174" s="41"/>
      <c r="K174" s="42"/>
      <c r="L174" s="514">
        <f t="shared" ref="L174:N174" ca="1" si="118">L175+L176</f>
        <v>19590</v>
      </c>
      <c r="M174" s="515">
        <f t="shared" ca="1" si="118"/>
        <v>139645</v>
      </c>
      <c r="N174" s="515">
        <f t="shared" ca="1" si="118"/>
        <v>106870</v>
      </c>
      <c r="O174" s="515">
        <f t="shared" ref="O174:O182" ca="1" si="119">IF(L174&gt;0,N174*100/L174,0)</f>
        <v>545.53343542623793</v>
      </c>
      <c r="P174" s="515">
        <f t="shared" ref="P174:P182" ca="1" si="120">IF(M174&gt;0,N174*100/M174,0)</f>
        <v>76.529771921658494</v>
      </c>
      <c r="Q174" s="515">
        <f t="shared" ref="Q174:S174" ca="1" si="121">Q175+Q176</f>
        <v>0</v>
      </c>
      <c r="R174" s="515">
        <f t="shared" ca="1" si="121"/>
        <v>0</v>
      </c>
      <c r="S174" s="515">
        <f t="shared" ca="1" si="121"/>
        <v>0</v>
      </c>
      <c r="T174" s="515">
        <f t="shared" ref="T174:T182" ca="1" si="122">IF(Q174&gt;0,S174*100/Q174,0)</f>
        <v>0</v>
      </c>
      <c r="U174" s="515">
        <f t="shared" ref="U174:U182" ca="1" si="123">IF(R174&gt;0,S174*100/R174,0)</f>
        <v>0</v>
      </c>
    </row>
    <row r="175" spans="1:21" ht="18.75" hidden="1" x14ac:dyDescent="0.25">
      <c r="A175" s="126"/>
      <c r="B175" s="187"/>
      <c r="C175" s="187"/>
      <c r="D175" s="187"/>
      <c r="E175" s="154" t="s">
        <v>20</v>
      </c>
      <c r="F175" s="187"/>
      <c r="G175" s="39"/>
      <c r="H175" s="155" t="s">
        <v>14</v>
      </c>
      <c r="I175" s="41"/>
      <c r="J175" s="41"/>
      <c r="K175" s="42"/>
      <c r="L175" s="483">
        <f t="shared" ref="L175:N176" si="124">L178+L181</f>
        <v>0</v>
      </c>
      <c r="M175" s="80">
        <f t="shared" si="124"/>
        <v>0</v>
      </c>
      <c r="N175" s="80">
        <f t="shared" si="124"/>
        <v>0</v>
      </c>
      <c r="O175" s="80">
        <f t="shared" si="119"/>
        <v>0</v>
      </c>
      <c r="P175" s="80">
        <f t="shared" si="120"/>
        <v>0</v>
      </c>
      <c r="Q175" s="80">
        <f t="shared" ref="Q175:S176" si="125">Q178+Q181</f>
        <v>0</v>
      </c>
      <c r="R175" s="80">
        <f t="shared" si="125"/>
        <v>0</v>
      </c>
      <c r="S175" s="80">
        <f t="shared" si="125"/>
        <v>0</v>
      </c>
      <c r="T175" s="80">
        <f t="shared" si="122"/>
        <v>0</v>
      </c>
      <c r="U175" s="80">
        <f t="shared" si="123"/>
        <v>0</v>
      </c>
    </row>
    <row r="176" spans="1:21" ht="18.75" hidden="1" x14ac:dyDescent="0.25">
      <c r="A176" s="126"/>
      <c r="B176" s="187"/>
      <c r="C176" s="187"/>
      <c r="D176" s="187"/>
      <c r="E176" s="254" t="s">
        <v>21</v>
      </c>
      <c r="F176" s="187"/>
      <c r="G176" s="39"/>
      <c r="H176" s="131" t="s">
        <v>14</v>
      </c>
      <c r="I176" s="41"/>
      <c r="J176" s="41"/>
      <c r="K176" s="42"/>
      <c r="L176" s="481">
        <f t="shared" ca="1" si="124"/>
        <v>19590</v>
      </c>
      <c r="M176" s="230">
        <f t="shared" ca="1" si="124"/>
        <v>139645</v>
      </c>
      <c r="N176" s="230">
        <f t="shared" ca="1" si="124"/>
        <v>106870</v>
      </c>
      <c r="O176" s="230">
        <f t="shared" ca="1" si="119"/>
        <v>545.53343542623793</v>
      </c>
      <c r="P176" s="230">
        <f t="shared" ca="1" si="120"/>
        <v>76.529771921658494</v>
      </c>
      <c r="Q176" s="230">
        <f t="shared" ca="1" si="125"/>
        <v>0</v>
      </c>
      <c r="R176" s="230">
        <f t="shared" ca="1" si="125"/>
        <v>0</v>
      </c>
      <c r="S176" s="230">
        <f t="shared" ca="1" si="125"/>
        <v>0</v>
      </c>
      <c r="T176" s="230">
        <f t="shared" ca="1" si="122"/>
        <v>0</v>
      </c>
      <c r="U176" s="230">
        <f t="shared" ca="1" si="123"/>
        <v>0</v>
      </c>
    </row>
    <row r="177" spans="1:21" ht="18.75" x14ac:dyDescent="0.25">
      <c r="A177" s="126"/>
      <c r="B177" s="187"/>
      <c r="C177" s="187"/>
      <c r="D177" s="38" t="s">
        <v>22</v>
      </c>
      <c r="E177" s="187"/>
      <c r="F177" s="187"/>
      <c r="G177" s="39"/>
      <c r="H177" s="132" t="s">
        <v>14</v>
      </c>
      <c r="I177" s="133"/>
      <c r="J177" s="133"/>
      <c r="K177" s="134"/>
      <c r="L177" s="481">
        <f t="shared" ref="L177:N177" ca="1" si="126">L178+L179</f>
        <v>19590</v>
      </c>
      <c r="M177" s="230">
        <f t="shared" ca="1" si="126"/>
        <v>139645</v>
      </c>
      <c r="N177" s="230">
        <f t="shared" ca="1" si="126"/>
        <v>106870</v>
      </c>
      <c r="O177" s="230">
        <f t="shared" ca="1" si="119"/>
        <v>545.53343542623793</v>
      </c>
      <c r="P177" s="230">
        <f t="shared" ca="1" si="120"/>
        <v>76.529771921658494</v>
      </c>
      <c r="Q177" s="230">
        <f t="shared" ref="Q177:S177" ca="1" si="127">Q178+Q179</f>
        <v>0</v>
      </c>
      <c r="R177" s="230">
        <f t="shared" ca="1" si="127"/>
        <v>0</v>
      </c>
      <c r="S177" s="230">
        <f t="shared" ca="1" si="127"/>
        <v>0</v>
      </c>
      <c r="T177" s="230">
        <f t="shared" ca="1" si="122"/>
        <v>0</v>
      </c>
      <c r="U177" s="230">
        <f t="shared" ca="1" si="123"/>
        <v>0</v>
      </c>
    </row>
    <row r="178" spans="1:21" ht="18.75" hidden="1" x14ac:dyDescent="0.25">
      <c r="A178" s="126"/>
      <c r="B178" s="187"/>
      <c r="C178" s="187"/>
      <c r="D178" s="187"/>
      <c r="E178" s="154" t="s">
        <v>36</v>
      </c>
      <c r="F178" s="187"/>
      <c r="G178" s="39"/>
      <c r="H178" s="157" t="s">
        <v>14</v>
      </c>
      <c r="I178" s="133"/>
      <c r="J178" s="133"/>
      <c r="K178" s="134"/>
      <c r="L178" s="483">
        <v>0</v>
      </c>
      <c r="M178" s="80">
        <v>0</v>
      </c>
      <c r="N178" s="80">
        <v>0</v>
      </c>
      <c r="O178" s="80">
        <f t="shared" si="119"/>
        <v>0</v>
      </c>
      <c r="P178" s="80">
        <f t="shared" si="120"/>
        <v>0</v>
      </c>
      <c r="Q178" s="80">
        <v>0</v>
      </c>
      <c r="R178" s="80">
        <v>0</v>
      </c>
      <c r="S178" s="80">
        <v>0</v>
      </c>
      <c r="T178" s="80">
        <f t="shared" si="122"/>
        <v>0</v>
      </c>
      <c r="U178" s="80">
        <f t="shared" si="123"/>
        <v>0</v>
      </c>
    </row>
    <row r="179" spans="1:21" ht="18.75" hidden="1" x14ac:dyDescent="0.25">
      <c r="A179" s="126"/>
      <c r="B179" s="187"/>
      <c r="C179" s="187"/>
      <c r="D179" s="187"/>
      <c r="E179" s="254" t="s">
        <v>37</v>
      </c>
      <c r="F179" s="187"/>
      <c r="G179" s="39"/>
      <c r="H179" s="132" t="s">
        <v>14</v>
      </c>
      <c r="I179" s="133"/>
      <c r="J179" s="133"/>
      <c r="K179" s="134"/>
      <c r="L179" s="481">
        <f ca="1">IFERROR(__xludf.DUMMYFUNCTION("IMPORTRANGE(""https://docs.google.com/spreadsheets/d/1-uDff_7J0KD5mKrp0Vvzr7lt3OU09vwQwhkpOPPYv2Y/edit?usp=sharing"",""งบพรบ!CK21"")"),19590)</f>
        <v>19590</v>
      </c>
      <c r="M179" s="230">
        <f ca="1">IFERROR(__xludf.DUMMYFUNCTION("IMPORTRANGE(""https://docs.google.com/spreadsheets/d/1-uDff_7J0KD5mKrp0Vvzr7lt3OU09vwQwhkpOPPYv2Y/edit?usp=sharing"",""งบพรบ!CP21"")"),139645)</f>
        <v>139645</v>
      </c>
      <c r="N179" s="230">
        <f ca="1">IFERROR(__xludf.DUMMYFUNCTION("IMPORTRANGE(""https://docs.google.com/spreadsheets/d/1-uDff_7J0KD5mKrp0Vvzr7lt3OU09vwQwhkpOPPYv2Y/edit?usp=sharing"",""งบพรบ!CR21"")"),106870)</f>
        <v>106870</v>
      </c>
      <c r="O179" s="230">
        <f t="shared" ca="1" si="119"/>
        <v>545.53343542623793</v>
      </c>
      <c r="P179" s="230">
        <f t="shared" ca="1" si="120"/>
        <v>76.529771921658494</v>
      </c>
      <c r="Q179" s="230">
        <f ca="1">IFERROR(__xludf.DUMMYFUNCTION("IMPORTRANGE(""https://docs.google.com/spreadsheets/d/1ItG2mGa2ceCfYo0BwxsXqNm01IGEUdYcSSLTEv9YCik/edit?usp=sharing"",""เบิกจ่ายกองทุน!BE21"")"),0)</f>
        <v>0</v>
      </c>
      <c r="R179" s="230">
        <f ca="1">IFERROR(__xludf.DUMMYFUNCTION("IMPORTRANGE(""https://docs.google.com/spreadsheets/d/1ItG2mGa2ceCfYo0BwxsXqNm01IGEUdYcSSLTEv9YCik/edit?usp=sharing"",""เบิกจ่ายกองทุน!BF21"")"),0)</f>
        <v>0</v>
      </c>
      <c r="S179" s="230">
        <f ca="1">IFERROR(__xludf.DUMMYFUNCTION("IMPORTRANGE(""https://docs.google.com/spreadsheets/d/1ItG2mGa2ceCfYo0BwxsXqNm01IGEUdYcSSLTEv9YCik/edit?usp=sharing"",""เบิกจ่ายกองทุน!BG21"")"),0)</f>
        <v>0</v>
      </c>
      <c r="T179" s="230">
        <f t="shared" ca="1" si="122"/>
        <v>0</v>
      </c>
      <c r="U179" s="230">
        <f t="shared" ca="1" si="123"/>
        <v>0</v>
      </c>
    </row>
    <row r="180" spans="1:21" ht="18.75" x14ac:dyDescent="0.25">
      <c r="A180" s="126"/>
      <c r="B180" s="187"/>
      <c r="C180" s="187"/>
      <c r="D180" s="38" t="s">
        <v>23</v>
      </c>
      <c r="E180" s="187"/>
      <c r="F180" s="187"/>
      <c r="G180" s="39"/>
      <c r="H180" s="135" t="s">
        <v>14</v>
      </c>
      <c r="I180" s="133"/>
      <c r="J180" s="133"/>
      <c r="K180" s="134"/>
      <c r="L180" s="481">
        <f t="shared" ref="L180:N180" ca="1" si="128">L181+L182</f>
        <v>0</v>
      </c>
      <c r="M180" s="230">
        <f t="shared" ca="1" si="128"/>
        <v>0</v>
      </c>
      <c r="N180" s="230">
        <f t="shared" ca="1" si="128"/>
        <v>0</v>
      </c>
      <c r="O180" s="230">
        <f t="shared" ca="1" si="119"/>
        <v>0</v>
      </c>
      <c r="P180" s="230">
        <f t="shared" ca="1" si="120"/>
        <v>0</v>
      </c>
      <c r="Q180" s="230">
        <f t="shared" ref="Q180:S180" si="129">Q181+Q182</f>
        <v>0</v>
      </c>
      <c r="R180" s="230">
        <f t="shared" si="129"/>
        <v>0</v>
      </c>
      <c r="S180" s="230">
        <f t="shared" si="129"/>
        <v>0</v>
      </c>
      <c r="T180" s="230">
        <f t="shared" si="122"/>
        <v>0</v>
      </c>
      <c r="U180" s="230">
        <f t="shared" si="123"/>
        <v>0</v>
      </c>
    </row>
    <row r="181" spans="1:21" ht="18.75" hidden="1" x14ac:dyDescent="0.25">
      <c r="A181" s="126"/>
      <c r="B181" s="187"/>
      <c r="C181" s="187"/>
      <c r="D181" s="187"/>
      <c r="E181" s="154" t="s">
        <v>20</v>
      </c>
      <c r="F181" s="187"/>
      <c r="G181" s="39"/>
      <c r="H181" s="157" t="s">
        <v>14</v>
      </c>
      <c r="I181" s="133"/>
      <c r="J181" s="133"/>
      <c r="K181" s="134"/>
      <c r="L181" s="483">
        <v>0</v>
      </c>
      <c r="M181" s="80">
        <v>0</v>
      </c>
      <c r="N181" s="80">
        <v>0</v>
      </c>
      <c r="O181" s="80">
        <f t="shared" si="119"/>
        <v>0</v>
      </c>
      <c r="P181" s="80">
        <f t="shared" si="120"/>
        <v>0</v>
      </c>
      <c r="Q181" s="80">
        <v>0</v>
      </c>
      <c r="R181" s="80">
        <v>0</v>
      </c>
      <c r="S181" s="80">
        <v>0</v>
      </c>
      <c r="T181" s="80">
        <f t="shared" si="122"/>
        <v>0</v>
      </c>
      <c r="U181" s="80">
        <f t="shared" si="123"/>
        <v>0</v>
      </c>
    </row>
    <row r="182" spans="1:21" ht="18.75" hidden="1" x14ac:dyDescent="0.25">
      <c r="A182" s="126"/>
      <c r="B182" s="187"/>
      <c r="C182" s="187"/>
      <c r="D182" s="187"/>
      <c r="E182" s="254" t="s">
        <v>21</v>
      </c>
      <c r="F182" s="187"/>
      <c r="G182" s="39"/>
      <c r="H182" s="135" t="s">
        <v>14</v>
      </c>
      <c r="I182" s="133"/>
      <c r="J182" s="133"/>
      <c r="K182" s="134"/>
      <c r="L182" s="481">
        <f ca="1">IFERROR(__xludf.DUMMYFUNCTION("IMPORTRANGE(""https://docs.google.com/spreadsheets/d/1-uDff_7J0KD5mKrp0Vvzr7lt3OU09vwQwhkpOPPYv2Y/edit?usp=sharing"",""งบพรบ!CN21"")"),0)</f>
        <v>0</v>
      </c>
      <c r="M182" s="230">
        <f ca="1">IFERROR(__xludf.DUMMYFUNCTION("IMPORTRANGE(""https://docs.google.com/spreadsheets/d/1-uDff_7J0KD5mKrp0Vvzr7lt3OU09vwQwhkpOPPYv2Y/edit?usp=sharing"",""งบพรบ!CQ21"")"),0)</f>
        <v>0</v>
      </c>
      <c r="N182" s="230">
        <f ca="1">IFERROR(__xludf.DUMMYFUNCTION("IMPORTRANGE(""https://docs.google.com/spreadsheets/d/1-uDff_7J0KD5mKrp0Vvzr7lt3OU09vwQwhkpOPPYv2Y/edit?usp=sharing"",""งบพรบ!CS21"")"),0)</f>
        <v>0</v>
      </c>
      <c r="O182" s="230">
        <f t="shared" ca="1" si="119"/>
        <v>0</v>
      </c>
      <c r="P182" s="230">
        <f t="shared" ca="1" si="120"/>
        <v>0</v>
      </c>
      <c r="Q182" s="230">
        <v>0</v>
      </c>
      <c r="R182" s="230">
        <v>0</v>
      </c>
      <c r="S182" s="230">
        <v>0</v>
      </c>
      <c r="T182" s="230">
        <f t="shared" si="122"/>
        <v>0</v>
      </c>
      <c r="U182" s="230">
        <f t="shared" si="123"/>
        <v>0</v>
      </c>
    </row>
    <row r="183" spans="1:21" ht="19.5" x14ac:dyDescent="0.3">
      <c r="A183" s="136"/>
      <c r="B183" s="137"/>
      <c r="C183" s="186" t="s">
        <v>18</v>
      </c>
      <c r="D183" s="516" t="s">
        <v>38</v>
      </c>
      <c r="E183" s="139"/>
      <c r="F183" s="139"/>
      <c r="G183" s="140"/>
      <c r="H183" s="179"/>
      <c r="I183" s="41"/>
      <c r="J183" s="41"/>
      <c r="K183" s="42"/>
      <c r="L183" s="484"/>
      <c r="M183" s="42"/>
      <c r="N183" s="42"/>
      <c r="O183" s="42"/>
      <c r="P183" s="42"/>
      <c r="Q183" s="42"/>
      <c r="R183" s="42"/>
      <c r="S183" s="42"/>
      <c r="T183" s="42"/>
      <c r="U183" s="42"/>
    </row>
    <row r="184" spans="1:21" ht="18.75" x14ac:dyDescent="0.25">
      <c r="A184" s="214"/>
      <c r="B184" s="187"/>
      <c r="C184" s="156"/>
      <c r="D184" s="426" t="s">
        <v>75</v>
      </c>
      <c r="E184" s="187"/>
      <c r="F184" s="187"/>
      <c r="G184" s="39"/>
      <c r="H184" s="216" t="s">
        <v>35</v>
      </c>
      <c r="I184" s="189">
        <f ca="1">IFERROR(__xludf.DUMMYFUNCTION("IMPORTRANGE(""https://docs.google.com/spreadsheets/d/1eHaY18a8A9IcSdp1K8H6x8fbOy06t2VsZHhMHf-1x7Y/edit?usp=sharing"",""แผน!AA21"")"),7)</f>
        <v>7</v>
      </c>
      <c r="J184" s="520">
        <v>7</v>
      </c>
      <c r="K184" s="230">
        <f t="shared" ref="K184:K186" ca="1" si="130">IF(I184&gt;0,J184*100/I184,0)</f>
        <v>100</v>
      </c>
      <c r="L184" s="484"/>
      <c r="M184" s="42"/>
      <c r="N184" s="42"/>
      <c r="O184" s="42"/>
      <c r="P184" s="42"/>
      <c r="Q184" s="42"/>
      <c r="R184" s="42"/>
      <c r="S184" s="42"/>
      <c r="T184" s="42"/>
      <c r="U184" s="42"/>
    </row>
    <row r="185" spans="1:21" ht="18.75" hidden="1" x14ac:dyDescent="0.25">
      <c r="A185" s="214"/>
      <c r="B185" s="156"/>
      <c r="C185" s="156"/>
      <c r="D185" s="442" t="s">
        <v>76</v>
      </c>
      <c r="E185" s="187"/>
      <c r="F185" s="187"/>
      <c r="G185" s="39"/>
      <c r="H185" s="537" t="s">
        <v>35</v>
      </c>
      <c r="I185" s="444">
        <v>0</v>
      </c>
      <c r="J185" s="444">
        <v>0</v>
      </c>
      <c r="K185" s="80">
        <f t="shared" si="130"/>
        <v>0</v>
      </c>
      <c r="L185" s="484"/>
      <c r="M185" s="42"/>
      <c r="N185" s="42"/>
      <c r="O185" s="42"/>
      <c r="P185" s="42"/>
      <c r="Q185" s="42"/>
      <c r="R185" s="42"/>
      <c r="S185" s="42"/>
      <c r="T185" s="42"/>
      <c r="U185" s="42"/>
    </row>
    <row r="186" spans="1:21" ht="19.5" x14ac:dyDescent="0.3">
      <c r="A186" s="207"/>
      <c r="B186" s="311" t="s">
        <v>77</v>
      </c>
      <c r="C186" s="209"/>
      <c r="D186" s="139"/>
      <c r="E186" s="139"/>
      <c r="F186" s="139"/>
      <c r="G186" s="140"/>
      <c r="H186" s="210" t="s">
        <v>35</v>
      </c>
      <c r="I186" s="534">
        <f t="shared" ref="I186:J186" ca="1" si="131">I231+I232</f>
        <v>0</v>
      </c>
      <c r="J186" s="534">
        <f t="shared" si="131"/>
        <v>0</v>
      </c>
      <c r="K186" s="535">
        <f t="shared" ca="1" si="130"/>
        <v>0</v>
      </c>
      <c r="L186" s="536"/>
      <c r="M186" s="213"/>
      <c r="N186" s="213"/>
      <c r="O186" s="213"/>
      <c r="P186" s="213"/>
      <c r="Q186" s="213"/>
      <c r="R186" s="213"/>
      <c r="S186" s="213"/>
      <c r="T186" s="213"/>
      <c r="U186" s="213"/>
    </row>
    <row r="187" spans="1:21" ht="19.5" x14ac:dyDescent="0.3">
      <c r="A187" s="126"/>
      <c r="B187" s="187"/>
      <c r="C187" s="186" t="s">
        <v>18</v>
      </c>
      <c r="D187" s="513" t="s">
        <v>19</v>
      </c>
      <c r="E187" s="187"/>
      <c r="F187" s="187"/>
      <c r="G187" s="39"/>
      <c r="H187" s="129" t="s">
        <v>14</v>
      </c>
      <c r="I187" s="41"/>
      <c r="J187" s="41"/>
      <c r="K187" s="42"/>
      <c r="L187" s="514">
        <f t="shared" ref="L187:N187" ca="1" si="132">L188+L189</f>
        <v>218500</v>
      </c>
      <c r="M187" s="515">
        <f t="shared" ca="1" si="132"/>
        <v>202500</v>
      </c>
      <c r="N187" s="515">
        <f t="shared" ca="1" si="132"/>
        <v>103433.34</v>
      </c>
      <c r="O187" s="515">
        <f t="shared" ref="O187:O195" ca="1" si="133">IF(L187&gt;0,N187*100/L187,0)</f>
        <v>47.33791304347826</v>
      </c>
      <c r="P187" s="515">
        <f t="shared" ref="P187:P195" ca="1" si="134">IF(M187&gt;0,N187*100/M187,0)</f>
        <v>51.078192592592593</v>
      </c>
      <c r="Q187" s="515">
        <f t="shared" ref="Q187:S187" ca="1" si="135">Q188+Q189</f>
        <v>42000</v>
      </c>
      <c r="R187" s="515">
        <f t="shared" ca="1" si="135"/>
        <v>42000</v>
      </c>
      <c r="S187" s="515">
        <f t="shared" ca="1" si="135"/>
        <v>0</v>
      </c>
      <c r="T187" s="515">
        <f t="shared" ref="T187:T195" ca="1" si="136">IF(Q187&gt;0,S187*100/Q187,0)</f>
        <v>0</v>
      </c>
      <c r="U187" s="515">
        <f t="shared" ref="U187:U195" ca="1" si="137">IF(R187&gt;0,S187*100/R187,0)</f>
        <v>0</v>
      </c>
    </row>
    <row r="188" spans="1:21" ht="18.75" hidden="1" x14ac:dyDescent="0.25">
      <c r="A188" s="126"/>
      <c r="B188" s="187"/>
      <c r="C188" s="187"/>
      <c r="D188" s="187"/>
      <c r="E188" s="154" t="s">
        <v>20</v>
      </c>
      <c r="F188" s="187"/>
      <c r="G188" s="39"/>
      <c r="H188" s="155" t="s">
        <v>14</v>
      </c>
      <c r="I188" s="41"/>
      <c r="J188" s="41"/>
      <c r="K188" s="42"/>
      <c r="L188" s="483">
        <f t="shared" ref="L188:N189" si="138">L191+L194</f>
        <v>0</v>
      </c>
      <c r="M188" s="80">
        <f t="shared" si="138"/>
        <v>0</v>
      </c>
      <c r="N188" s="80">
        <f t="shared" si="138"/>
        <v>0</v>
      </c>
      <c r="O188" s="80">
        <f t="shared" si="133"/>
        <v>0</v>
      </c>
      <c r="P188" s="80">
        <f t="shared" si="134"/>
        <v>0</v>
      </c>
      <c r="Q188" s="80">
        <f t="shared" ref="Q188:S189" si="139">Q191+Q194</f>
        <v>0</v>
      </c>
      <c r="R188" s="80">
        <f t="shared" si="139"/>
        <v>0</v>
      </c>
      <c r="S188" s="80">
        <f t="shared" si="139"/>
        <v>0</v>
      </c>
      <c r="T188" s="80">
        <f t="shared" si="136"/>
        <v>0</v>
      </c>
      <c r="U188" s="80">
        <f t="shared" si="137"/>
        <v>0</v>
      </c>
    </row>
    <row r="189" spans="1:21" ht="18.75" hidden="1" x14ac:dyDescent="0.25">
      <c r="A189" s="126"/>
      <c r="B189" s="187"/>
      <c r="C189" s="187"/>
      <c r="D189" s="187"/>
      <c r="E189" s="254" t="s">
        <v>21</v>
      </c>
      <c r="F189" s="187"/>
      <c r="G189" s="39"/>
      <c r="H189" s="131" t="s">
        <v>14</v>
      </c>
      <c r="I189" s="41"/>
      <c r="J189" s="41"/>
      <c r="K189" s="42"/>
      <c r="L189" s="481">
        <f t="shared" ca="1" si="138"/>
        <v>218500</v>
      </c>
      <c r="M189" s="230">
        <f t="shared" ca="1" si="138"/>
        <v>202500</v>
      </c>
      <c r="N189" s="230">
        <f t="shared" ca="1" si="138"/>
        <v>103433.34</v>
      </c>
      <c r="O189" s="230">
        <f t="shared" ca="1" si="133"/>
        <v>47.33791304347826</v>
      </c>
      <c r="P189" s="230">
        <f t="shared" ca="1" si="134"/>
        <v>51.078192592592593</v>
      </c>
      <c r="Q189" s="230">
        <f t="shared" ca="1" si="139"/>
        <v>42000</v>
      </c>
      <c r="R189" s="230">
        <f t="shared" ca="1" si="139"/>
        <v>42000</v>
      </c>
      <c r="S189" s="230">
        <f t="shared" ca="1" si="139"/>
        <v>0</v>
      </c>
      <c r="T189" s="230">
        <f t="shared" ca="1" si="136"/>
        <v>0</v>
      </c>
      <c r="U189" s="230">
        <f t="shared" ca="1" si="137"/>
        <v>0</v>
      </c>
    </row>
    <row r="190" spans="1:21" ht="18.75" x14ac:dyDescent="0.25">
      <c r="A190" s="126"/>
      <c r="B190" s="187"/>
      <c r="C190" s="187"/>
      <c r="D190" s="38" t="s">
        <v>22</v>
      </c>
      <c r="E190" s="187"/>
      <c r="F190" s="187"/>
      <c r="G190" s="39"/>
      <c r="H190" s="132" t="s">
        <v>14</v>
      </c>
      <c r="I190" s="133"/>
      <c r="J190" s="133"/>
      <c r="K190" s="134"/>
      <c r="L190" s="481">
        <f t="shared" ref="L190:N190" ca="1" si="140">L191+L192</f>
        <v>218500</v>
      </c>
      <c r="M190" s="230">
        <f t="shared" ca="1" si="140"/>
        <v>202500</v>
      </c>
      <c r="N190" s="230">
        <f t="shared" ca="1" si="140"/>
        <v>103433.34</v>
      </c>
      <c r="O190" s="230">
        <f t="shared" ca="1" si="133"/>
        <v>47.33791304347826</v>
      </c>
      <c r="P190" s="230">
        <f t="shared" ca="1" si="134"/>
        <v>51.078192592592593</v>
      </c>
      <c r="Q190" s="230">
        <f t="shared" ref="Q190:S190" ca="1" si="141">Q191+Q192</f>
        <v>42000</v>
      </c>
      <c r="R190" s="230">
        <f t="shared" ca="1" si="141"/>
        <v>42000</v>
      </c>
      <c r="S190" s="230">
        <f t="shared" ca="1" si="141"/>
        <v>0</v>
      </c>
      <c r="T190" s="230">
        <f t="shared" ca="1" si="136"/>
        <v>0</v>
      </c>
      <c r="U190" s="230">
        <f t="shared" ca="1" si="137"/>
        <v>0</v>
      </c>
    </row>
    <row r="191" spans="1:21" ht="18.75" hidden="1" x14ac:dyDescent="0.25">
      <c r="A191" s="126"/>
      <c r="B191" s="187"/>
      <c r="C191" s="187"/>
      <c r="D191" s="187"/>
      <c r="E191" s="154" t="s">
        <v>36</v>
      </c>
      <c r="F191" s="187"/>
      <c r="G191" s="39"/>
      <c r="H191" s="157" t="s">
        <v>14</v>
      </c>
      <c r="I191" s="133"/>
      <c r="J191" s="133"/>
      <c r="K191" s="134"/>
      <c r="L191" s="483">
        <v>0</v>
      </c>
      <c r="M191" s="80">
        <v>0</v>
      </c>
      <c r="N191" s="80">
        <v>0</v>
      </c>
      <c r="O191" s="80">
        <f t="shared" si="133"/>
        <v>0</v>
      </c>
      <c r="P191" s="80">
        <f t="shared" si="134"/>
        <v>0</v>
      </c>
      <c r="Q191" s="80">
        <v>0</v>
      </c>
      <c r="R191" s="80">
        <v>0</v>
      </c>
      <c r="S191" s="80">
        <v>0</v>
      </c>
      <c r="T191" s="80">
        <f t="shared" si="136"/>
        <v>0</v>
      </c>
      <c r="U191" s="80">
        <f t="shared" si="137"/>
        <v>0</v>
      </c>
    </row>
    <row r="192" spans="1:21" ht="18.75" hidden="1" x14ac:dyDescent="0.25">
      <c r="A192" s="126"/>
      <c r="B192" s="187"/>
      <c r="C192" s="187"/>
      <c r="D192" s="187"/>
      <c r="E192" s="254" t="s">
        <v>37</v>
      </c>
      <c r="F192" s="187"/>
      <c r="G192" s="39"/>
      <c r="H192" s="132" t="s">
        <v>14</v>
      </c>
      <c r="I192" s="133"/>
      <c r="J192" s="133"/>
      <c r="K192" s="134"/>
      <c r="L192" s="481">
        <f ca="1">IFERROR(__xludf.DUMMYFUNCTION("IMPORTRANGE(""https://docs.google.com/spreadsheets/d/1-uDff_7J0KD5mKrp0Vvzr7lt3OU09vwQwhkpOPPYv2Y/edit?usp=sharing"",""งบพรบ!CU21"")"),218500)</f>
        <v>218500</v>
      </c>
      <c r="M192" s="230">
        <f ca="1">IFERROR(__xludf.DUMMYFUNCTION("IMPORTRANGE(""https://docs.google.com/spreadsheets/d/1-uDff_7J0KD5mKrp0Vvzr7lt3OU09vwQwhkpOPPYv2Y/edit?usp=sharing"",""งบพรบ!CZ21"")"),202500)</f>
        <v>202500</v>
      </c>
      <c r="N192" s="230">
        <f ca="1">IFERROR(__xludf.DUMMYFUNCTION("IMPORTRANGE(""https://docs.google.com/spreadsheets/d/1-uDff_7J0KD5mKrp0Vvzr7lt3OU09vwQwhkpOPPYv2Y/edit?usp=sharing"",""งบพรบ!DB21"")"),103433.34)</f>
        <v>103433.34</v>
      </c>
      <c r="O192" s="230">
        <f t="shared" ca="1" si="133"/>
        <v>47.33791304347826</v>
      </c>
      <c r="P192" s="230">
        <f t="shared" ca="1" si="134"/>
        <v>51.078192592592593</v>
      </c>
      <c r="Q192" s="230">
        <f ca="1">IFERROR(__xludf.DUMMYFUNCTION("IMPORTRANGE(""https://docs.google.com/spreadsheets/d/1ItG2mGa2ceCfYo0BwxsXqNm01IGEUdYcSSLTEv9YCik/edit?usp=sharing"",""เบิกจ่ายกองทุน!AV21"")"),42000)</f>
        <v>42000</v>
      </c>
      <c r="R192" s="230">
        <f ca="1">IFERROR(__xludf.DUMMYFUNCTION("IMPORTRANGE(""https://docs.google.com/spreadsheets/d/1ItG2mGa2ceCfYo0BwxsXqNm01IGEUdYcSSLTEv9YCik/edit?usp=sharing"",""เบิกจ่ายกองทุน!AW21"")"),42000)</f>
        <v>42000</v>
      </c>
      <c r="S192" s="230">
        <f ca="1">IFERROR(__xludf.DUMMYFUNCTION("IMPORTRANGE(""https://docs.google.com/spreadsheets/d/1ItG2mGa2ceCfYo0BwxsXqNm01IGEUdYcSSLTEv9YCik/edit?usp=sharing"",""เบิกจ่ายกองทุน!AX21"")"),0)</f>
        <v>0</v>
      </c>
      <c r="T192" s="230">
        <f t="shared" ca="1" si="136"/>
        <v>0</v>
      </c>
      <c r="U192" s="230">
        <f t="shared" ca="1" si="137"/>
        <v>0</v>
      </c>
    </row>
    <row r="193" spans="1:21" ht="18.75" x14ac:dyDescent="0.25">
      <c r="A193" s="126"/>
      <c r="B193" s="187"/>
      <c r="C193" s="187"/>
      <c r="D193" s="38" t="s">
        <v>23</v>
      </c>
      <c r="E193" s="187"/>
      <c r="F193" s="187"/>
      <c r="G193" s="39"/>
      <c r="H193" s="135" t="s">
        <v>14</v>
      </c>
      <c r="I193" s="133"/>
      <c r="J193" s="133"/>
      <c r="K193" s="134"/>
      <c r="L193" s="481">
        <f t="shared" ref="L193:N193" ca="1" si="142">L194+L195</f>
        <v>0</v>
      </c>
      <c r="M193" s="230">
        <f t="shared" ca="1" si="142"/>
        <v>0</v>
      </c>
      <c r="N193" s="230">
        <f t="shared" ca="1" si="142"/>
        <v>0</v>
      </c>
      <c r="O193" s="230">
        <f t="shared" ca="1" si="133"/>
        <v>0</v>
      </c>
      <c r="P193" s="230">
        <f t="shared" ca="1" si="134"/>
        <v>0</v>
      </c>
      <c r="Q193" s="230">
        <f t="shared" ref="Q193:S193" si="143">Q194+Q195</f>
        <v>0</v>
      </c>
      <c r="R193" s="230">
        <f t="shared" si="143"/>
        <v>0</v>
      </c>
      <c r="S193" s="230">
        <f t="shared" si="143"/>
        <v>0</v>
      </c>
      <c r="T193" s="230">
        <f t="shared" si="136"/>
        <v>0</v>
      </c>
      <c r="U193" s="230">
        <f t="shared" si="137"/>
        <v>0</v>
      </c>
    </row>
    <row r="194" spans="1:21" ht="18.75" hidden="1" x14ac:dyDescent="0.25">
      <c r="A194" s="126"/>
      <c r="B194" s="187"/>
      <c r="C194" s="187"/>
      <c r="D194" s="187"/>
      <c r="E194" s="154" t="s">
        <v>20</v>
      </c>
      <c r="F194" s="187"/>
      <c r="G194" s="39"/>
      <c r="H194" s="157" t="s">
        <v>14</v>
      </c>
      <c r="I194" s="133"/>
      <c r="J194" s="133"/>
      <c r="K194" s="134"/>
      <c r="L194" s="483">
        <v>0</v>
      </c>
      <c r="M194" s="80">
        <v>0</v>
      </c>
      <c r="N194" s="80">
        <v>0</v>
      </c>
      <c r="O194" s="80">
        <f t="shared" si="133"/>
        <v>0</v>
      </c>
      <c r="P194" s="80">
        <f t="shared" si="134"/>
        <v>0</v>
      </c>
      <c r="Q194" s="80">
        <v>0</v>
      </c>
      <c r="R194" s="80">
        <v>0</v>
      </c>
      <c r="S194" s="80">
        <v>0</v>
      </c>
      <c r="T194" s="80">
        <f t="shared" si="136"/>
        <v>0</v>
      </c>
      <c r="U194" s="80">
        <f t="shared" si="137"/>
        <v>0</v>
      </c>
    </row>
    <row r="195" spans="1:21" ht="18.75" hidden="1" x14ac:dyDescent="0.25">
      <c r="A195" s="126"/>
      <c r="B195" s="187"/>
      <c r="C195" s="187"/>
      <c r="D195" s="187"/>
      <c r="E195" s="254" t="s">
        <v>21</v>
      </c>
      <c r="F195" s="187"/>
      <c r="G195" s="39"/>
      <c r="H195" s="135" t="s">
        <v>14</v>
      </c>
      <c r="I195" s="133"/>
      <c r="J195" s="133"/>
      <c r="K195" s="134"/>
      <c r="L195" s="481">
        <f ca="1">IFERROR(__xludf.DUMMYFUNCTION("IMPORTRANGE(""https://docs.google.com/spreadsheets/d/1-uDff_7J0KD5mKrp0Vvzr7lt3OU09vwQwhkpOPPYv2Y/edit?usp=sharing"",""งบพรบ!CX21"")"),0)</f>
        <v>0</v>
      </c>
      <c r="M195" s="230">
        <f ca="1">IFERROR(__xludf.DUMMYFUNCTION("IMPORTRANGE(""https://docs.google.com/spreadsheets/d/1-uDff_7J0KD5mKrp0Vvzr7lt3OU09vwQwhkpOPPYv2Y/edit?usp=sharing"",""งบพรบ!DA21"")"),0)</f>
        <v>0</v>
      </c>
      <c r="N195" s="230">
        <f ca="1">IFERROR(__xludf.DUMMYFUNCTION("IMPORTRANGE(""https://docs.google.com/spreadsheets/d/1-uDff_7J0KD5mKrp0Vvzr7lt3OU09vwQwhkpOPPYv2Y/edit?usp=sharing"",""งบพรบ!DC21"")"),0)</f>
        <v>0</v>
      </c>
      <c r="O195" s="230">
        <f t="shared" ca="1" si="133"/>
        <v>0</v>
      </c>
      <c r="P195" s="230">
        <f t="shared" ca="1" si="134"/>
        <v>0</v>
      </c>
      <c r="Q195" s="230">
        <v>0</v>
      </c>
      <c r="R195" s="230">
        <v>0</v>
      </c>
      <c r="S195" s="230">
        <v>0</v>
      </c>
      <c r="T195" s="230">
        <f t="shared" si="136"/>
        <v>0</v>
      </c>
      <c r="U195" s="230">
        <f t="shared" si="137"/>
        <v>0</v>
      </c>
    </row>
    <row r="196" spans="1:21" ht="19.5" x14ac:dyDescent="0.3">
      <c r="A196" s="217"/>
      <c r="B196" s="218"/>
      <c r="C196" s="219" t="s">
        <v>78</v>
      </c>
      <c r="D196" s="220"/>
      <c r="E196" s="220"/>
      <c r="F196" s="220"/>
      <c r="G196" s="221"/>
      <c r="H196" s="222" t="s">
        <v>79</v>
      </c>
      <c r="I196" s="313">
        <f t="shared" ref="I196:J196" ca="1" si="144">I199</f>
        <v>4</v>
      </c>
      <c r="J196" s="313">
        <f t="shared" si="144"/>
        <v>1</v>
      </c>
      <c r="K196" s="314">
        <f ca="1">IF(I196&gt;0,J196*100/I196,0)</f>
        <v>25</v>
      </c>
      <c r="L196" s="538"/>
      <c r="M196" s="225"/>
      <c r="N196" s="225"/>
      <c r="O196" s="225"/>
      <c r="P196" s="225"/>
      <c r="Q196" s="225"/>
      <c r="R196" s="225"/>
      <c r="S196" s="225"/>
      <c r="T196" s="225"/>
      <c r="U196" s="225"/>
    </row>
    <row r="197" spans="1:21" ht="19.5" x14ac:dyDescent="0.3">
      <c r="A197" s="126"/>
      <c r="B197" s="187"/>
      <c r="C197" s="186" t="s">
        <v>18</v>
      </c>
      <c r="D197" s="539" t="s">
        <v>19</v>
      </c>
      <c r="E197" s="187"/>
      <c r="F197" s="187"/>
      <c r="G197" s="39"/>
      <c r="H197" s="227" t="s">
        <v>14</v>
      </c>
      <c r="I197" s="41"/>
      <c r="J197" s="41"/>
      <c r="K197" s="42"/>
      <c r="L197" s="514">
        <f ca="1">IFERROR(__xludf.DUMMYFUNCTION("IMPORTRANGE(""https://docs.google.com/spreadsheets/d/1eHaY18a8A9IcSdp1K8H6x8fbOy06t2VsZHhMHf-1x7Y/edit?usp=sharing"",""แผน!AB21"")"),6000)</f>
        <v>6000</v>
      </c>
      <c r="M197" s="42"/>
      <c r="N197" s="540">
        <v>0</v>
      </c>
      <c r="O197" s="515">
        <f ca="1">IF(L197&gt;0,N197*100/L197,0)</f>
        <v>0</v>
      </c>
      <c r="P197" s="515">
        <f>IF(M197&gt;0,N197*100/M197,0)</f>
        <v>0</v>
      </c>
      <c r="Q197" s="42"/>
      <c r="R197" s="42"/>
      <c r="S197" s="42"/>
      <c r="T197" s="42"/>
      <c r="U197" s="42"/>
    </row>
    <row r="198" spans="1:21" ht="19.5" x14ac:dyDescent="0.3">
      <c r="A198" s="136"/>
      <c r="B198" s="137"/>
      <c r="C198" s="186" t="s">
        <v>18</v>
      </c>
      <c r="D198" s="516" t="s">
        <v>38</v>
      </c>
      <c r="E198" s="139"/>
      <c r="F198" s="139"/>
      <c r="G198" s="140"/>
      <c r="H198" s="141"/>
      <c r="I198" s="41"/>
      <c r="J198" s="41"/>
      <c r="K198" s="42"/>
      <c r="L198" s="484"/>
      <c r="M198" s="42"/>
      <c r="N198" s="42"/>
      <c r="O198" s="42"/>
      <c r="P198" s="42"/>
      <c r="Q198" s="42"/>
      <c r="R198" s="42"/>
      <c r="S198" s="42"/>
      <c r="T198" s="42"/>
      <c r="U198" s="42"/>
    </row>
    <row r="199" spans="1:21" ht="18.75" x14ac:dyDescent="0.25">
      <c r="A199" s="136"/>
      <c r="B199" s="137"/>
      <c r="C199" s="137"/>
      <c r="D199" s="164" t="s">
        <v>80</v>
      </c>
      <c r="E199" s="167"/>
      <c r="F199" s="167"/>
      <c r="G199" s="141"/>
      <c r="H199" s="232" t="s">
        <v>79</v>
      </c>
      <c r="I199" s="189">
        <f ca="1">IFERROR(__xludf.DUMMYFUNCTION("IMPORTRANGE(""https://docs.google.com/spreadsheets/d/1eHaY18a8A9IcSdp1K8H6x8fbOy06t2VsZHhMHf-1x7Y/edit?usp=sharing"",""แผน!AE21"")"),4)</f>
        <v>4</v>
      </c>
      <c r="J199" s="520">
        <v>1</v>
      </c>
      <c r="K199" s="230">
        <f ca="1">IF(I199&gt;0,J199*100/I199,0)</f>
        <v>25</v>
      </c>
      <c r="L199" s="484"/>
      <c r="M199" s="42"/>
      <c r="N199" s="42"/>
      <c r="O199" s="42"/>
      <c r="P199" s="42"/>
      <c r="Q199" s="42"/>
      <c r="R199" s="42"/>
      <c r="S199" s="42"/>
      <c r="T199" s="42"/>
      <c r="U199" s="42"/>
    </row>
    <row r="200" spans="1:21" ht="18.75" x14ac:dyDescent="0.25">
      <c r="A200" s="136"/>
      <c r="B200" s="137"/>
      <c r="C200" s="137"/>
      <c r="D200" s="164" t="s">
        <v>81</v>
      </c>
      <c r="E200" s="167"/>
      <c r="F200" s="167"/>
      <c r="G200" s="141"/>
      <c r="H200" s="216" t="s">
        <v>35</v>
      </c>
      <c r="I200" s="41"/>
      <c r="J200" s="189">
        <f>J201+J202</f>
        <v>32</v>
      </c>
      <c r="K200" s="42"/>
      <c r="L200" s="484"/>
      <c r="M200" s="42"/>
      <c r="N200" s="42"/>
      <c r="O200" s="42"/>
      <c r="P200" s="42"/>
      <c r="Q200" s="42"/>
      <c r="R200" s="42"/>
      <c r="S200" s="42"/>
      <c r="T200" s="42"/>
      <c r="U200" s="42"/>
    </row>
    <row r="201" spans="1:21" ht="18.75" x14ac:dyDescent="0.25">
      <c r="A201" s="136"/>
      <c r="B201" s="137"/>
      <c r="C201" s="137"/>
      <c r="D201" s="137"/>
      <c r="E201" s="164" t="s">
        <v>82</v>
      </c>
      <c r="F201" s="167"/>
      <c r="G201" s="141"/>
      <c r="H201" s="216" t="s">
        <v>35</v>
      </c>
      <c r="I201" s="41"/>
      <c r="J201" s="520">
        <v>32</v>
      </c>
      <c r="K201" s="42"/>
      <c r="L201" s="484"/>
      <c r="M201" s="42"/>
      <c r="N201" s="42"/>
      <c r="O201" s="42"/>
      <c r="P201" s="42"/>
      <c r="Q201" s="42"/>
      <c r="R201" s="42"/>
      <c r="S201" s="42"/>
      <c r="T201" s="42"/>
      <c r="U201" s="42"/>
    </row>
    <row r="202" spans="1:21" ht="18.75" x14ac:dyDescent="0.25">
      <c r="A202" s="136"/>
      <c r="B202" s="137"/>
      <c r="C202" s="137"/>
      <c r="D202" s="137"/>
      <c r="E202" s="164" t="s">
        <v>83</v>
      </c>
      <c r="F202" s="167"/>
      <c r="G202" s="141"/>
      <c r="H202" s="216" t="s">
        <v>35</v>
      </c>
      <c r="I202" s="41"/>
      <c r="J202" s="520">
        <v>0</v>
      </c>
      <c r="K202" s="42"/>
      <c r="L202" s="484"/>
      <c r="M202" s="42"/>
      <c r="N202" s="42"/>
      <c r="O202" s="42"/>
      <c r="P202" s="42"/>
      <c r="Q202" s="42"/>
      <c r="R202" s="42"/>
      <c r="S202" s="42"/>
      <c r="T202" s="42"/>
      <c r="U202" s="42"/>
    </row>
    <row r="203" spans="1:21" ht="19.5" x14ac:dyDescent="0.3">
      <c r="A203" s="217"/>
      <c r="B203" s="218"/>
      <c r="C203" s="219" t="s">
        <v>84</v>
      </c>
      <c r="D203" s="220"/>
      <c r="E203" s="220"/>
      <c r="F203" s="220"/>
      <c r="G203" s="221"/>
      <c r="H203" s="318" t="s">
        <v>85</v>
      </c>
      <c r="I203" s="313">
        <f t="shared" ref="I203:J203" ca="1" si="145">I210</f>
        <v>2</v>
      </c>
      <c r="J203" s="313">
        <f t="shared" si="145"/>
        <v>0</v>
      </c>
      <c r="K203" s="314">
        <f ca="1">IF(I203&gt;0,J203*100/I203,0)</f>
        <v>0</v>
      </c>
      <c r="L203" s="538"/>
      <c r="M203" s="225"/>
      <c r="N203" s="225"/>
      <c r="O203" s="225"/>
      <c r="P203" s="225"/>
      <c r="Q203" s="225"/>
      <c r="R203" s="225"/>
      <c r="S203" s="225"/>
      <c r="T203" s="225"/>
      <c r="U203" s="225"/>
    </row>
    <row r="204" spans="1:21" ht="19.5" x14ac:dyDescent="0.3">
      <c r="A204" s="126"/>
      <c r="B204" s="187"/>
      <c r="C204" s="186" t="s">
        <v>18</v>
      </c>
      <c r="D204" s="539" t="s">
        <v>19</v>
      </c>
      <c r="E204" s="187"/>
      <c r="F204" s="187"/>
      <c r="G204" s="39"/>
      <c r="H204" s="227" t="s">
        <v>14</v>
      </c>
      <c r="I204" s="133"/>
      <c r="J204" s="133"/>
      <c r="K204" s="134"/>
      <c r="L204" s="514">
        <f ca="1">L205+L206+L207+L208</f>
        <v>26000</v>
      </c>
      <c r="M204" s="42"/>
      <c r="N204" s="515">
        <f>N205+N206+N207+N208</f>
        <v>0</v>
      </c>
      <c r="O204" s="515">
        <f ca="1">IF(L204&gt;0,N204*100/L204,0)</f>
        <v>0</v>
      </c>
      <c r="P204" s="515">
        <f>IF(M204&gt;0,N204*100/M204,0)</f>
        <v>0</v>
      </c>
      <c r="Q204" s="42"/>
      <c r="R204" s="42"/>
      <c r="S204" s="42"/>
      <c r="T204" s="42"/>
      <c r="U204" s="42"/>
    </row>
    <row r="205" spans="1:21" ht="18.75" x14ac:dyDescent="0.25">
      <c r="A205" s="126"/>
      <c r="B205" s="156"/>
      <c r="C205" s="187"/>
      <c r="D205" s="542" t="s">
        <v>311</v>
      </c>
      <c r="E205" s="187"/>
      <c r="F205" s="187"/>
      <c r="G205" s="39"/>
      <c r="H205" s="132" t="s">
        <v>14</v>
      </c>
      <c r="I205" s="133"/>
      <c r="J205" s="133"/>
      <c r="K205" s="134"/>
      <c r="L205" s="481">
        <f ca="1">IFERROR(__xludf.DUMMYFUNCTION("IMPORTRANGE(""https://docs.google.com/spreadsheets/d/1eHaY18a8A9IcSdp1K8H6x8fbOy06t2VsZHhMHf-1x7Y/edit?usp=sharing"",""แผน!AG21"")"),2000)</f>
        <v>2000</v>
      </c>
      <c r="M205" s="42"/>
      <c r="N205" s="541">
        <v>0</v>
      </c>
      <c r="O205" s="134"/>
      <c r="P205" s="42"/>
      <c r="Q205" s="42"/>
      <c r="R205" s="42"/>
      <c r="S205" s="42"/>
      <c r="T205" s="134"/>
      <c r="U205" s="42"/>
    </row>
    <row r="206" spans="1:21" ht="18.75" x14ac:dyDescent="0.25">
      <c r="A206" s="214"/>
      <c r="B206" s="156"/>
      <c r="C206" s="187"/>
      <c r="D206" s="254" t="s">
        <v>87</v>
      </c>
      <c r="E206" s="187"/>
      <c r="F206" s="187"/>
      <c r="G206" s="39"/>
      <c r="H206" s="40" t="s">
        <v>14</v>
      </c>
      <c r="I206" s="41"/>
      <c r="J206" s="41"/>
      <c r="K206" s="42"/>
      <c r="L206" s="481">
        <f ca="1">IFERROR(__xludf.DUMMYFUNCTION("IMPORTRANGE(""https://docs.google.com/spreadsheets/d/1eHaY18a8A9IcSdp1K8H6x8fbOy06t2VsZHhMHf-1x7Y/edit?usp=sharing"",""แผน!AH21"")"),0)</f>
        <v>0</v>
      </c>
      <c r="M206" s="42"/>
      <c r="N206" s="541">
        <v>0</v>
      </c>
      <c r="O206" s="134"/>
      <c r="P206" s="42"/>
      <c r="Q206" s="42"/>
      <c r="R206" s="42"/>
      <c r="S206" s="42"/>
      <c r="T206" s="134"/>
      <c r="U206" s="42"/>
    </row>
    <row r="207" spans="1:21" ht="18.75" x14ac:dyDescent="0.25">
      <c r="A207" s="214"/>
      <c r="B207" s="156"/>
      <c r="C207" s="187"/>
      <c r="D207" s="254" t="s">
        <v>88</v>
      </c>
      <c r="E207" s="187"/>
      <c r="F207" s="187"/>
      <c r="G207" s="39"/>
      <c r="H207" s="40" t="s">
        <v>14</v>
      </c>
      <c r="I207" s="41"/>
      <c r="J207" s="41"/>
      <c r="K207" s="42"/>
      <c r="L207" s="481">
        <f ca="1">IFERROR(__xludf.DUMMYFUNCTION("IMPORTRANGE(""https://docs.google.com/spreadsheets/d/1eHaY18a8A9IcSdp1K8H6x8fbOy06t2VsZHhMHf-1x7Y/edit?usp=sharing"",""แผน!AI21"")"),16000)</f>
        <v>16000</v>
      </c>
      <c r="M207" s="42"/>
      <c r="N207" s="541">
        <v>0</v>
      </c>
      <c r="O207" s="134"/>
      <c r="P207" s="42"/>
      <c r="Q207" s="42"/>
      <c r="R207" s="42"/>
      <c r="S207" s="42"/>
      <c r="T207" s="134"/>
      <c r="U207" s="42"/>
    </row>
    <row r="208" spans="1:21" ht="18.75" x14ac:dyDescent="0.25">
      <c r="A208" s="214"/>
      <c r="B208" s="156"/>
      <c r="C208" s="187"/>
      <c r="D208" s="254" t="s">
        <v>89</v>
      </c>
      <c r="E208" s="187"/>
      <c r="F208" s="187"/>
      <c r="G208" s="39"/>
      <c r="H208" s="40" t="s">
        <v>14</v>
      </c>
      <c r="I208" s="41"/>
      <c r="J208" s="41"/>
      <c r="K208" s="42"/>
      <c r="L208" s="481">
        <f ca="1">IFERROR(__xludf.DUMMYFUNCTION("IMPORTRANGE(""https://docs.google.com/spreadsheets/d/1eHaY18a8A9IcSdp1K8H6x8fbOy06t2VsZHhMHf-1x7Y/edit?usp=sharing"",""แผน!AJ21"")"),8000)</f>
        <v>8000</v>
      </c>
      <c r="M208" s="42"/>
      <c r="N208" s="541">
        <v>0</v>
      </c>
      <c r="O208" s="134"/>
      <c r="P208" s="42"/>
      <c r="Q208" s="42"/>
      <c r="R208" s="42"/>
      <c r="S208" s="42"/>
      <c r="T208" s="134"/>
      <c r="U208" s="42"/>
    </row>
    <row r="209" spans="1:21" ht="19.5" x14ac:dyDescent="0.3">
      <c r="A209" s="136"/>
      <c r="B209" s="137"/>
      <c r="C209" s="186" t="s">
        <v>18</v>
      </c>
      <c r="D209" s="516" t="s">
        <v>38</v>
      </c>
      <c r="E209" s="139"/>
      <c r="F209" s="139"/>
      <c r="G209" s="140"/>
      <c r="H209" s="141"/>
      <c r="I209" s="133"/>
      <c r="J209" s="133"/>
      <c r="K209" s="134"/>
      <c r="L209" s="517"/>
      <c r="M209" s="134"/>
      <c r="N209" s="134"/>
      <c r="O209" s="134"/>
      <c r="P209" s="134"/>
      <c r="Q209" s="134"/>
      <c r="R209" s="134"/>
      <c r="S209" s="134"/>
      <c r="T209" s="134"/>
      <c r="U209" s="134"/>
    </row>
    <row r="210" spans="1:21" ht="18.75" x14ac:dyDescent="0.25">
      <c r="A210" s="136"/>
      <c r="B210" s="137"/>
      <c r="C210" s="137"/>
      <c r="D210" s="319" t="s">
        <v>90</v>
      </c>
      <c r="E210" s="167"/>
      <c r="F210" s="167"/>
      <c r="G210" s="141"/>
      <c r="H210" s="231" t="s">
        <v>85</v>
      </c>
      <c r="I210" s="189">
        <f ca="1">IFERROR(__xludf.DUMMYFUNCTION("IMPORTRANGE(""https://docs.google.com/spreadsheets/d/1eHaY18a8A9IcSdp1K8H6x8fbOy06t2VsZHhMHf-1x7Y/edit?usp=sharing"",""แผน!AK21"")"),2)</f>
        <v>2</v>
      </c>
      <c r="J210" s="520">
        <v>0</v>
      </c>
      <c r="K210" s="521">
        <f ca="1">IF(I210&gt;0,J210*100/I210,0)</f>
        <v>0</v>
      </c>
      <c r="L210" s="484"/>
      <c r="M210" s="42"/>
      <c r="N210" s="42"/>
      <c r="O210" s="42"/>
      <c r="P210" s="42"/>
      <c r="Q210" s="42"/>
      <c r="R210" s="42"/>
      <c r="S210" s="42"/>
      <c r="T210" s="42"/>
      <c r="U210" s="42"/>
    </row>
    <row r="211" spans="1:21" ht="18.75" x14ac:dyDescent="0.25">
      <c r="A211" s="136"/>
      <c r="B211" s="137"/>
      <c r="C211" s="137"/>
      <c r="D211" s="164" t="s">
        <v>50</v>
      </c>
      <c r="E211" s="167"/>
      <c r="F211" s="167"/>
      <c r="G211" s="141"/>
      <c r="H211" s="141"/>
      <c r="I211" s="41"/>
      <c r="J211" s="41"/>
      <c r="K211" s="134"/>
      <c r="L211" s="484"/>
      <c r="M211" s="42"/>
      <c r="N211" s="42"/>
      <c r="O211" s="42"/>
      <c r="P211" s="42"/>
      <c r="Q211" s="42"/>
      <c r="R211" s="42"/>
      <c r="S211" s="42"/>
      <c r="T211" s="42"/>
      <c r="U211" s="42"/>
    </row>
    <row r="212" spans="1:21" ht="18.75" x14ac:dyDescent="0.25">
      <c r="A212" s="136"/>
      <c r="B212" s="137"/>
      <c r="C212" s="137"/>
      <c r="D212" s="167"/>
      <c r="E212" s="164" t="s">
        <v>91</v>
      </c>
      <c r="F212" s="167"/>
      <c r="G212" s="141"/>
      <c r="H212" s="231" t="s">
        <v>85</v>
      </c>
      <c r="I212" s="189">
        <f ca="1">IFERROR(__xludf.DUMMYFUNCTION("IMPORTRANGE(""https://docs.google.com/spreadsheets/d/1eHaY18a8A9IcSdp1K8H6x8fbOy06t2VsZHhMHf-1x7Y/edit?usp=sharing"",""แผน!JX21"")"),2)</f>
        <v>2</v>
      </c>
      <c r="J212" s="520">
        <v>0</v>
      </c>
      <c r="K212" s="521">
        <f t="shared" ref="K212:K214" ca="1" si="146">IF(I212&gt;0,J212*100/I212,0)</f>
        <v>0</v>
      </c>
      <c r="L212" s="484"/>
      <c r="M212" s="42"/>
      <c r="N212" s="42"/>
      <c r="O212" s="42"/>
      <c r="P212" s="42"/>
      <c r="Q212" s="42"/>
      <c r="R212" s="42"/>
      <c r="S212" s="42"/>
      <c r="T212" s="42"/>
      <c r="U212" s="42"/>
    </row>
    <row r="213" spans="1:21" ht="18.75" x14ac:dyDescent="0.25">
      <c r="A213" s="136"/>
      <c r="B213" s="137"/>
      <c r="C213" s="137"/>
      <c r="D213" s="167"/>
      <c r="E213" s="164" t="s">
        <v>92</v>
      </c>
      <c r="F213" s="167"/>
      <c r="G213" s="167"/>
      <c r="H213" s="232" t="s">
        <v>93</v>
      </c>
      <c r="I213" s="189">
        <f ca="1">IFERROR(__xludf.DUMMYFUNCTION("IMPORTRANGE(""https://docs.google.com/spreadsheets/d/1eHaY18a8A9IcSdp1K8H6x8fbOy06t2VsZHhMHf-1x7Y/edit?usp=sharing"",""แผน!JY21"")"),0)</f>
        <v>0</v>
      </c>
      <c r="J213" s="520">
        <v>0</v>
      </c>
      <c r="K213" s="521">
        <f t="shared" ca="1" si="146"/>
        <v>0</v>
      </c>
      <c r="L213" s="484"/>
      <c r="M213" s="42"/>
      <c r="N213" s="42"/>
      <c r="O213" s="42"/>
      <c r="P213" s="42"/>
      <c r="Q213" s="42"/>
      <c r="R213" s="42"/>
      <c r="S213" s="42"/>
      <c r="T213" s="42"/>
      <c r="U213" s="42"/>
    </row>
    <row r="214" spans="1:21" ht="19.5" hidden="1" x14ac:dyDescent="0.3">
      <c r="A214" s="217"/>
      <c r="B214" s="218"/>
      <c r="C214" s="219" t="s">
        <v>94</v>
      </c>
      <c r="D214" s="220"/>
      <c r="E214" s="220"/>
      <c r="F214" s="220"/>
      <c r="G214" s="221"/>
      <c r="H214" s="318" t="s">
        <v>85</v>
      </c>
      <c r="I214" s="313">
        <f t="shared" ref="I214:J214" ca="1" si="147">I221</f>
        <v>0</v>
      </c>
      <c r="J214" s="313">
        <f t="shared" si="147"/>
        <v>0</v>
      </c>
      <c r="K214" s="314">
        <f t="shared" ca="1" si="146"/>
        <v>0</v>
      </c>
      <c r="L214" s="538"/>
      <c r="M214" s="225"/>
      <c r="N214" s="225"/>
      <c r="O214" s="225"/>
      <c r="P214" s="225"/>
      <c r="Q214" s="225"/>
      <c r="R214" s="225"/>
      <c r="S214" s="225"/>
      <c r="T214" s="225"/>
      <c r="U214" s="225"/>
    </row>
    <row r="215" spans="1:21" ht="19.5" hidden="1" x14ac:dyDescent="0.3">
      <c r="A215" s="126"/>
      <c r="B215" s="187"/>
      <c r="C215" s="186" t="s">
        <v>18</v>
      </c>
      <c r="D215" s="539" t="s">
        <v>19</v>
      </c>
      <c r="E215" s="187"/>
      <c r="F215" s="187"/>
      <c r="G215" s="39"/>
      <c r="H215" s="227" t="s">
        <v>14</v>
      </c>
      <c r="I215" s="133"/>
      <c r="J215" s="133"/>
      <c r="K215" s="134"/>
      <c r="L215" s="514">
        <f ca="1">L216+L217+L218</f>
        <v>0</v>
      </c>
      <c r="M215" s="42"/>
      <c r="N215" s="515">
        <f>N216+N217+N218</f>
        <v>0</v>
      </c>
      <c r="O215" s="515">
        <f ca="1">IF(L215&gt;0,N215*100/L215,0)</f>
        <v>0</v>
      </c>
      <c r="P215" s="515">
        <f>IF(M215&gt;0,N215*100/M215,0)</f>
        <v>0</v>
      </c>
      <c r="Q215" s="42"/>
      <c r="R215" s="42"/>
      <c r="S215" s="42"/>
      <c r="T215" s="42"/>
      <c r="U215" s="42"/>
    </row>
    <row r="216" spans="1:21" ht="18.75" hidden="1" x14ac:dyDescent="0.25">
      <c r="A216" s="126"/>
      <c r="B216" s="156"/>
      <c r="C216" s="187"/>
      <c r="D216" s="254" t="s">
        <v>86</v>
      </c>
      <c r="E216" s="187"/>
      <c r="F216" s="187"/>
      <c r="G216" s="39"/>
      <c r="H216" s="132" t="s">
        <v>14</v>
      </c>
      <c r="I216" s="133"/>
      <c r="J216" s="133"/>
      <c r="K216" s="134"/>
      <c r="L216" s="481">
        <f ca="1">IFERROR(__xludf.DUMMYFUNCTION("IMPORTRANGE(""https://docs.google.com/spreadsheets/d/1eHaY18a8A9IcSdp1K8H6x8fbOy06t2VsZHhMHf-1x7Y/edit?usp=sharing"",""แผน!AM21"")"),0)</f>
        <v>0</v>
      </c>
      <c r="M216" s="42"/>
      <c r="N216" s="541">
        <v>0</v>
      </c>
      <c r="O216" s="134"/>
      <c r="P216" s="42"/>
      <c r="Q216" s="42"/>
      <c r="R216" s="42"/>
      <c r="S216" s="42"/>
      <c r="T216" s="134"/>
      <c r="U216" s="42"/>
    </row>
    <row r="217" spans="1:21" ht="18.75" hidden="1" x14ac:dyDescent="0.25">
      <c r="A217" s="214"/>
      <c r="B217" s="156"/>
      <c r="C217" s="156"/>
      <c r="D217" s="254" t="s">
        <v>95</v>
      </c>
      <c r="E217" s="187"/>
      <c r="F217" s="187"/>
      <c r="G217" s="39"/>
      <c r="H217" s="132" t="s">
        <v>14</v>
      </c>
      <c r="I217" s="41"/>
      <c r="J217" s="41"/>
      <c r="K217" s="42"/>
      <c r="L217" s="481">
        <f ca="1">IFERROR(__xludf.DUMMYFUNCTION("IMPORTRANGE(""https://docs.google.com/spreadsheets/d/1eHaY18a8A9IcSdp1K8H6x8fbOy06t2VsZHhMHf-1x7Y/edit?usp=sharing"",""แผน!AN21"")"),0)</f>
        <v>0</v>
      </c>
      <c r="M217" s="42"/>
      <c r="N217" s="541">
        <v>0</v>
      </c>
      <c r="O217" s="134"/>
      <c r="P217" s="42"/>
      <c r="Q217" s="42"/>
      <c r="R217" s="42"/>
      <c r="S217" s="42"/>
      <c r="T217" s="134"/>
      <c r="U217" s="42"/>
    </row>
    <row r="218" spans="1:21" ht="18.75" hidden="1" x14ac:dyDescent="0.25">
      <c r="A218" s="214"/>
      <c r="B218" s="156"/>
      <c r="C218" s="156"/>
      <c r="D218" s="254" t="s">
        <v>88</v>
      </c>
      <c r="E218" s="187"/>
      <c r="F218" s="187"/>
      <c r="G218" s="39"/>
      <c r="H218" s="132" t="s">
        <v>14</v>
      </c>
      <c r="I218" s="41"/>
      <c r="J218" s="41"/>
      <c r="K218" s="42"/>
      <c r="L218" s="481">
        <f ca="1">IFERROR(__xludf.DUMMYFUNCTION("IMPORTRANGE(""https://docs.google.com/spreadsheets/d/1eHaY18a8A9IcSdp1K8H6x8fbOy06t2VsZHhMHf-1x7Y/edit?usp=sharing"",""แผน!AO21"")"),0)</f>
        <v>0</v>
      </c>
      <c r="M218" s="42"/>
      <c r="N218" s="541">
        <v>0</v>
      </c>
      <c r="O218" s="134"/>
      <c r="P218" s="42"/>
      <c r="Q218" s="42"/>
      <c r="R218" s="42"/>
      <c r="S218" s="42"/>
      <c r="T218" s="134"/>
      <c r="U218" s="42"/>
    </row>
    <row r="219" spans="1:21" ht="19.5" hidden="1" x14ac:dyDescent="0.3">
      <c r="A219" s="136"/>
      <c r="B219" s="137"/>
      <c r="C219" s="336" t="s">
        <v>18</v>
      </c>
      <c r="D219" s="516" t="s">
        <v>38</v>
      </c>
      <c r="E219" s="139"/>
      <c r="F219" s="139"/>
      <c r="G219" s="140"/>
      <c r="H219" s="141"/>
      <c r="I219" s="133"/>
      <c r="J219" s="41"/>
      <c r="K219" s="42"/>
      <c r="L219" s="484"/>
      <c r="M219" s="42"/>
      <c r="N219" s="42"/>
      <c r="O219" s="134"/>
      <c r="P219" s="134"/>
      <c r="Q219" s="42"/>
      <c r="R219" s="42"/>
      <c r="S219" s="42"/>
      <c r="T219" s="134"/>
      <c r="U219" s="134"/>
    </row>
    <row r="220" spans="1:21" ht="18.75" hidden="1" x14ac:dyDescent="0.25">
      <c r="A220" s="136"/>
      <c r="B220" s="137"/>
      <c r="C220" s="137"/>
      <c r="D220" s="319" t="s">
        <v>96</v>
      </c>
      <c r="E220" s="167"/>
      <c r="F220" s="167"/>
      <c r="G220" s="141"/>
      <c r="H220" s="231" t="s">
        <v>85</v>
      </c>
      <c r="I220" s="189">
        <f ca="1">IFERROR(__xludf.DUMMYFUNCTION("IMPORTRANGE(""https://docs.google.com/spreadsheets/d/1eHaY18a8A9IcSdp1K8H6x8fbOy06t2VsZHhMHf-1x7Y/edit?usp=sharing"",""แผน!AP21"")"),0)</f>
        <v>0</v>
      </c>
      <c r="J220" s="520">
        <v>0</v>
      </c>
      <c r="K220" s="230">
        <f t="shared" ref="K220:K222" ca="1" si="148">IF(I220&gt;0,J220*100/I220,0)</f>
        <v>0</v>
      </c>
      <c r="L220" s="484"/>
      <c r="M220" s="42"/>
      <c r="N220" s="42"/>
      <c r="O220" s="42"/>
      <c r="P220" s="42"/>
      <c r="Q220" s="42"/>
      <c r="R220" s="42"/>
      <c r="S220" s="42"/>
      <c r="T220" s="42"/>
      <c r="U220" s="42"/>
    </row>
    <row r="221" spans="1:21" ht="18.75" hidden="1" x14ac:dyDescent="0.25">
      <c r="A221" s="136"/>
      <c r="B221" s="137"/>
      <c r="C221" s="137"/>
      <c r="D221" s="319" t="s">
        <v>97</v>
      </c>
      <c r="E221" s="167"/>
      <c r="F221" s="167"/>
      <c r="G221" s="141"/>
      <c r="H221" s="231" t="s">
        <v>85</v>
      </c>
      <c r="I221" s="189">
        <f ca="1">IFERROR(__xludf.DUMMYFUNCTION("IMPORTRANGE(""https://docs.google.com/spreadsheets/d/1eHaY18a8A9IcSdp1K8H6x8fbOy06t2VsZHhMHf-1x7Y/edit?usp=sharing"",""แผน!AP21"")"),0)</f>
        <v>0</v>
      </c>
      <c r="J221" s="520">
        <v>0</v>
      </c>
      <c r="K221" s="230">
        <f t="shared" ca="1" si="148"/>
        <v>0</v>
      </c>
      <c r="L221" s="484"/>
      <c r="M221" s="42"/>
      <c r="N221" s="42"/>
      <c r="O221" s="42"/>
      <c r="P221" s="42"/>
      <c r="Q221" s="42"/>
      <c r="R221" s="42"/>
      <c r="S221" s="42"/>
      <c r="T221" s="42"/>
      <c r="U221" s="42"/>
    </row>
    <row r="222" spans="1:21" ht="19.5" x14ac:dyDescent="0.3">
      <c r="A222" s="217"/>
      <c r="B222" s="218"/>
      <c r="C222" s="219" t="s">
        <v>98</v>
      </c>
      <c r="D222" s="220"/>
      <c r="E222" s="220"/>
      <c r="F222" s="220"/>
      <c r="G222" s="221"/>
      <c r="H222" s="222" t="s">
        <v>99</v>
      </c>
      <c r="I222" s="313">
        <f t="shared" ref="I222:J222" ca="1" si="149">I230</f>
        <v>20000</v>
      </c>
      <c r="J222" s="313">
        <f t="shared" si="149"/>
        <v>0</v>
      </c>
      <c r="K222" s="314">
        <f t="shared" ca="1" si="148"/>
        <v>0</v>
      </c>
      <c r="L222" s="538"/>
      <c r="M222" s="225"/>
      <c r="N222" s="225"/>
      <c r="O222" s="225"/>
      <c r="P222" s="225"/>
      <c r="Q222" s="225"/>
      <c r="R222" s="225"/>
      <c r="S222" s="225"/>
      <c r="T222" s="225"/>
      <c r="U222" s="225"/>
    </row>
    <row r="223" spans="1:21" ht="19.5" x14ac:dyDescent="0.3">
      <c r="A223" s="126"/>
      <c r="B223" s="187"/>
      <c r="C223" s="186" t="s">
        <v>18</v>
      </c>
      <c r="D223" s="539" t="s">
        <v>19</v>
      </c>
      <c r="E223" s="187"/>
      <c r="F223" s="187"/>
      <c r="G223" s="39"/>
      <c r="H223" s="227" t="s">
        <v>14</v>
      </c>
      <c r="I223" s="133"/>
      <c r="J223" s="133"/>
      <c r="K223" s="134"/>
      <c r="L223" s="514">
        <f ca="1">L224+L225+L226</f>
        <v>4500</v>
      </c>
      <c r="M223" s="42"/>
      <c r="N223" s="515">
        <f>N224+N225+N226</f>
        <v>0</v>
      </c>
      <c r="O223" s="515">
        <f ca="1">IF(L223&gt;0,N223*100/L223,0)</f>
        <v>0</v>
      </c>
      <c r="P223" s="515">
        <f>IF(M223&gt;0,N223*100/M223,0)</f>
        <v>0</v>
      </c>
      <c r="Q223" s="42"/>
      <c r="R223" s="42"/>
      <c r="S223" s="42"/>
      <c r="T223" s="42"/>
      <c r="U223" s="42"/>
    </row>
    <row r="224" spans="1:21" ht="18.75" x14ac:dyDescent="0.25">
      <c r="A224" s="126"/>
      <c r="B224" s="156"/>
      <c r="C224" s="187"/>
      <c r="D224" s="542" t="s">
        <v>298</v>
      </c>
      <c r="E224" s="187"/>
      <c r="F224" s="187"/>
      <c r="G224" s="39"/>
      <c r="H224" s="132" t="s">
        <v>14</v>
      </c>
      <c r="I224" s="133"/>
      <c r="J224" s="133"/>
      <c r="K224" s="134"/>
      <c r="L224" s="481">
        <f ca="1">IFERROR(__xludf.DUMMYFUNCTION("IMPORTRANGE(""https://docs.google.com/spreadsheets/d/1eHaY18a8A9IcSdp1K8H6x8fbOy06t2VsZHhMHf-1x7Y/edit?usp=sharing"",""แผน!AR21"")"),3000)</f>
        <v>3000</v>
      </c>
      <c r="M224" s="42"/>
      <c r="N224" s="541">
        <v>0</v>
      </c>
      <c r="O224" s="134"/>
      <c r="P224" s="42"/>
      <c r="Q224" s="42"/>
      <c r="R224" s="42"/>
      <c r="S224" s="42"/>
      <c r="T224" s="134"/>
      <c r="U224" s="42"/>
    </row>
    <row r="225" spans="1:21" ht="18.75" x14ac:dyDescent="0.25">
      <c r="A225" s="214"/>
      <c r="B225" s="156"/>
      <c r="C225" s="156"/>
      <c r="D225" s="254" t="s">
        <v>299</v>
      </c>
      <c r="E225" s="187"/>
      <c r="F225" s="187"/>
      <c r="G225" s="39"/>
      <c r="H225" s="132" t="s">
        <v>14</v>
      </c>
      <c r="I225" s="41"/>
      <c r="J225" s="41"/>
      <c r="K225" s="42"/>
      <c r="L225" s="481">
        <f ca="1">IFERROR(__xludf.DUMMYFUNCTION("IMPORTRANGE(""https://docs.google.com/spreadsheets/d/1eHaY18a8A9IcSdp1K8H6x8fbOy06t2VsZHhMHf-1x7Y/edit?usp=sharing"",""แผน!AS21"")"),1500)</f>
        <v>1500</v>
      </c>
      <c r="M225" s="42"/>
      <c r="N225" s="541">
        <v>0</v>
      </c>
      <c r="O225" s="134"/>
      <c r="P225" s="42"/>
      <c r="Q225" s="42"/>
      <c r="R225" s="42"/>
      <c r="S225" s="42"/>
      <c r="T225" s="134"/>
      <c r="U225" s="42"/>
    </row>
    <row r="226" spans="1:21" ht="18.75" x14ac:dyDescent="0.25">
      <c r="A226" s="214"/>
      <c r="B226" s="156"/>
      <c r="C226" s="156"/>
      <c r="D226" s="254" t="s">
        <v>88</v>
      </c>
      <c r="E226" s="187"/>
      <c r="F226" s="187"/>
      <c r="G226" s="39"/>
      <c r="H226" s="132" t="s">
        <v>14</v>
      </c>
      <c r="I226" s="41"/>
      <c r="J226" s="41"/>
      <c r="K226" s="42"/>
      <c r="L226" s="481">
        <f ca="1">IFERROR(__xludf.DUMMYFUNCTION("IMPORTRANGE(""https://docs.google.com/spreadsheets/d/1eHaY18a8A9IcSdp1K8H6x8fbOy06t2VsZHhMHf-1x7Y/edit?usp=sharing"",""แผน!AT21"")"),0)</f>
        <v>0</v>
      </c>
      <c r="M226" s="42"/>
      <c r="N226" s="541">
        <v>0</v>
      </c>
      <c r="O226" s="134"/>
      <c r="P226" s="42"/>
      <c r="Q226" s="42"/>
      <c r="R226" s="42"/>
      <c r="S226" s="42"/>
      <c r="T226" s="134"/>
      <c r="U226" s="42"/>
    </row>
    <row r="227" spans="1:21" ht="19.5" x14ac:dyDescent="0.3">
      <c r="A227" s="136"/>
      <c r="B227" s="137"/>
      <c r="C227" s="336" t="s">
        <v>18</v>
      </c>
      <c r="D227" s="516" t="s">
        <v>38</v>
      </c>
      <c r="E227" s="139"/>
      <c r="F227" s="139"/>
      <c r="G227" s="140"/>
      <c r="H227" s="141"/>
      <c r="I227" s="133"/>
      <c r="J227" s="133"/>
      <c r="K227" s="134"/>
      <c r="L227" s="517"/>
      <c r="M227" s="134"/>
      <c r="N227" s="134"/>
      <c r="O227" s="134"/>
      <c r="P227" s="134"/>
      <c r="Q227" s="134"/>
      <c r="R227" s="134"/>
      <c r="S227" s="134"/>
      <c r="T227" s="134"/>
      <c r="U227" s="134"/>
    </row>
    <row r="228" spans="1:21" ht="18.75" x14ac:dyDescent="0.25">
      <c r="A228" s="136"/>
      <c r="B228" s="137"/>
      <c r="C228" s="137"/>
      <c r="D228" s="254" t="s">
        <v>101</v>
      </c>
      <c r="E228" s="167"/>
      <c r="F228" s="167"/>
      <c r="G228" s="141"/>
      <c r="H228" s="141"/>
      <c r="I228" s="41"/>
      <c r="J228" s="41"/>
      <c r="K228" s="134"/>
      <c r="L228" s="517"/>
      <c r="M228" s="134"/>
      <c r="N228" s="134"/>
      <c r="O228" s="134"/>
      <c r="P228" s="134"/>
      <c r="Q228" s="134"/>
      <c r="R228" s="134"/>
      <c r="S228" s="134"/>
      <c r="T228" s="134"/>
      <c r="U228" s="134"/>
    </row>
    <row r="229" spans="1:21" ht="18.75" x14ac:dyDescent="0.25">
      <c r="A229" s="136"/>
      <c r="B229" s="137"/>
      <c r="C229" s="137"/>
      <c r="D229" s="137"/>
      <c r="E229" s="319" t="s">
        <v>102</v>
      </c>
      <c r="F229" s="167"/>
      <c r="G229" s="141"/>
      <c r="H229" s="232" t="s">
        <v>99</v>
      </c>
      <c r="I229" s="189">
        <f ca="1">IFERROR(__xludf.DUMMYFUNCTION("IMPORTRANGE(""https://docs.google.com/spreadsheets/d/1eHaY18a8A9IcSdp1K8H6x8fbOy06t2VsZHhMHf-1x7Y/edit?usp=sharing"",""แผน!AV21"")"),20000)</f>
        <v>20000</v>
      </c>
      <c r="J229" s="520">
        <v>0</v>
      </c>
      <c r="K229" s="521">
        <f t="shared" ref="K229:K232" ca="1" si="150">IF(I229&gt;0,J229*100/I229,0)</f>
        <v>0</v>
      </c>
      <c r="L229" s="517"/>
      <c r="M229" s="134"/>
      <c r="N229" s="134"/>
      <c r="O229" s="134"/>
      <c r="P229" s="134"/>
      <c r="Q229" s="134"/>
      <c r="R229" s="134"/>
      <c r="S229" s="134"/>
      <c r="T229" s="134"/>
      <c r="U229" s="134"/>
    </row>
    <row r="230" spans="1:21" ht="18.75" x14ac:dyDescent="0.25">
      <c r="A230" s="136"/>
      <c r="B230" s="137"/>
      <c r="C230" s="137"/>
      <c r="D230" s="137"/>
      <c r="E230" s="319" t="s">
        <v>103</v>
      </c>
      <c r="F230" s="167"/>
      <c r="G230" s="141"/>
      <c r="H230" s="232" t="s">
        <v>99</v>
      </c>
      <c r="I230" s="189">
        <f ca="1">IFERROR(__xludf.DUMMYFUNCTION("IMPORTRANGE(""https://docs.google.com/spreadsheets/d/1eHaY18a8A9IcSdp1K8H6x8fbOy06t2VsZHhMHf-1x7Y/edit?usp=sharing"",""แผน!AV21"")"),20000)</f>
        <v>20000</v>
      </c>
      <c r="J230" s="520">
        <v>0</v>
      </c>
      <c r="K230" s="521">
        <f t="shared" ca="1" si="150"/>
        <v>0</v>
      </c>
      <c r="L230" s="484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18.75" x14ac:dyDescent="0.25">
      <c r="A231" s="136"/>
      <c r="B231" s="137"/>
      <c r="C231" s="137"/>
      <c r="D231" s="254" t="s">
        <v>104</v>
      </c>
      <c r="E231" s="167"/>
      <c r="F231" s="167"/>
      <c r="G231" s="141"/>
      <c r="H231" s="232" t="s">
        <v>35</v>
      </c>
      <c r="I231" s="189">
        <f ca="1">IFERROR(__xludf.DUMMYFUNCTION("IMPORTRANGE(""https://docs.google.com/spreadsheets/d/1eHaY18a8A9IcSdp1K8H6x8fbOy06t2VsZHhMHf-1x7Y/edit?usp=sharing"",""แผน!AU21"")"),0)</f>
        <v>0</v>
      </c>
      <c r="J231" s="520">
        <v>0</v>
      </c>
      <c r="K231" s="521">
        <f t="shared" ca="1" si="150"/>
        <v>0</v>
      </c>
      <c r="L231" s="484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19.5" hidden="1" x14ac:dyDescent="0.3">
      <c r="A232" s="217"/>
      <c r="B232" s="218"/>
      <c r="C232" s="219" t="s">
        <v>105</v>
      </c>
      <c r="D232" s="220"/>
      <c r="E232" s="220"/>
      <c r="F232" s="220"/>
      <c r="G232" s="221"/>
      <c r="H232" s="222" t="s">
        <v>35</v>
      </c>
      <c r="I232" s="313">
        <f t="shared" ref="I232:J232" ca="1" si="151">I243+I254</f>
        <v>0</v>
      </c>
      <c r="J232" s="313">
        <f t="shared" si="151"/>
        <v>0</v>
      </c>
      <c r="K232" s="314">
        <f t="shared" ca="1" si="150"/>
        <v>0</v>
      </c>
      <c r="L232" s="538"/>
      <c r="M232" s="225"/>
      <c r="N232" s="225"/>
      <c r="O232" s="225"/>
      <c r="P232" s="225"/>
      <c r="Q232" s="225"/>
      <c r="R232" s="225"/>
      <c r="S232" s="225"/>
      <c r="T232" s="225"/>
      <c r="U232" s="225"/>
    </row>
    <row r="233" spans="1:21" ht="19.5" hidden="1" x14ac:dyDescent="0.3">
      <c r="A233" s="126"/>
      <c r="B233" s="187"/>
      <c r="C233" s="186" t="s">
        <v>18</v>
      </c>
      <c r="D233" s="513" t="s">
        <v>19</v>
      </c>
      <c r="E233" s="187"/>
      <c r="F233" s="187"/>
      <c r="G233" s="39"/>
      <c r="H233" s="227" t="s">
        <v>14</v>
      </c>
      <c r="I233" s="133"/>
      <c r="J233" s="133"/>
      <c r="K233" s="134"/>
      <c r="L233" s="543">
        <f t="shared" ref="L233:L237" ca="1" si="152">L244+L255</f>
        <v>0</v>
      </c>
      <c r="M233" s="42"/>
      <c r="N233" s="544">
        <f t="shared" ref="N233:N237" si="153">N244+N255</f>
        <v>0</v>
      </c>
      <c r="O233" s="42"/>
      <c r="P233" s="42"/>
      <c r="Q233" s="42"/>
      <c r="R233" s="42"/>
      <c r="S233" s="42"/>
      <c r="T233" s="42"/>
      <c r="U233" s="42"/>
    </row>
    <row r="234" spans="1:21" ht="18.75" hidden="1" x14ac:dyDescent="0.25">
      <c r="A234" s="126"/>
      <c r="B234" s="156"/>
      <c r="C234" s="187"/>
      <c r="D234" s="254" t="s">
        <v>86</v>
      </c>
      <c r="E234" s="187"/>
      <c r="F234" s="187"/>
      <c r="G234" s="39"/>
      <c r="H234" s="132" t="s">
        <v>14</v>
      </c>
      <c r="I234" s="133"/>
      <c r="J234" s="133"/>
      <c r="K234" s="134"/>
      <c r="L234" s="483">
        <f t="shared" ca="1" si="152"/>
        <v>0</v>
      </c>
      <c r="M234" s="42"/>
      <c r="N234" s="80">
        <f t="shared" si="153"/>
        <v>0</v>
      </c>
      <c r="O234" s="42"/>
      <c r="P234" s="42"/>
      <c r="Q234" s="42"/>
      <c r="R234" s="42"/>
      <c r="S234" s="42"/>
      <c r="T234" s="42"/>
      <c r="U234" s="42"/>
    </row>
    <row r="235" spans="1:21" ht="18.75" hidden="1" x14ac:dyDescent="0.25">
      <c r="A235" s="214"/>
      <c r="B235" s="156"/>
      <c r="C235" s="156"/>
      <c r="D235" s="254" t="s">
        <v>88</v>
      </c>
      <c r="E235" s="187"/>
      <c r="F235" s="187"/>
      <c r="G235" s="39"/>
      <c r="H235" s="132" t="s">
        <v>14</v>
      </c>
      <c r="I235" s="41"/>
      <c r="J235" s="41"/>
      <c r="K235" s="42"/>
      <c r="L235" s="483">
        <f t="shared" ca="1" si="152"/>
        <v>0</v>
      </c>
      <c r="M235" s="42"/>
      <c r="N235" s="80">
        <f t="shared" si="153"/>
        <v>0</v>
      </c>
      <c r="O235" s="42"/>
      <c r="P235" s="42"/>
      <c r="Q235" s="42"/>
      <c r="R235" s="42"/>
      <c r="S235" s="42"/>
      <c r="T235" s="42"/>
      <c r="U235" s="42"/>
    </row>
    <row r="236" spans="1:21" ht="18.75" hidden="1" x14ac:dyDescent="0.25">
      <c r="A236" s="214"/>
      <c r="B236" s="156"/>
      <c r="C236" s="156"/>
      <c r="D236" s="254" t="s">
        <v>106</v>
      </c>
      <c r="E236" s="187"/>
      <c r="F236" s="187"/>
      <c r="G236" s="39"/>
      <c r="H236" s="132" t="s">
        <v>14</v>
      </c>
      <c r="I236" s="41"/>
      <c r="J236" s="41"/>
      <c r="K236" s="42"/>
      <c r="L236" s="483">
        <f t="shared" ca="1" si="152"/>
        <v>0</v>
      </c>
      <c r="M236" s="42"/>
      <c r="N236" s="80">
        <f t="shared" si="153"/>
        <v>0</v>
      </c>
      <c r="O236" s="42"/>
      <c r="P236" s="42"/>
      <c r="Q236" s="42"/>
      <c r="R236" s="42"/>
      <c r="S236" s="42"/>
      <c r="T236" s="42"/>
      <c r="U236" s="42"/>
    </row>
    <row r="237" spans="1:21" ht="18.75" hidden="1" x14ac:dyDescent="0.25">
      <c r="A237" s="214"/>
      <c r="B237" s="156"/>
      <c r="C237" s="156"/>
      <c r="D237" s="254" t="s">
        <v>107</v>
      </c>
      <c r="E237" s="187"/>
      <c r="F237" s="187"/>
      <c r="G237" s="39"/>
      <c r="H237" s="132" t="s">
        <v>14</v>
      </c>
      <c r="I237" s="41"/>
      <c r="J237" s="41"/>
      <c r="K237" s="42"/>
      <c r="L237" s="483">
        <f t="shared" ca="1" si="152"/>
        <v>0</v>
      </c>
      <c r="M237" s="42"/>
      <c r="N237" s="80">
        <f t="shared" si="153"/>
        <v>0</v>
      </c>
      <c r="O237" s="42"/>
      <c r="P237" s="42"/>
      <c r="Q237" s="42"/>
      <c r="R237" s="42"/>
      <c r="S237" s="42"/>
      <c r="T237" s="42"/>
      <c r="U237" s="42"/>
    </row>
    <row r="238" spans="1:21" ht="19.5" hidden="1" x14ac:dyDescent="0.3">
      <c r="A238" s="136"/>
      <c r="B238" s="137"/>
      <c r="C238" s="336" t="s">
        <v>18</v>
      </c>
      <c r="D238" s="516" t="s">
        <v>38</v>
      </c>
      <c r="E238" s="139"/>
      <c r="F238" s="139"/>
      <c r="G238" s="140"/>
      <c r="H238" s="141"/>
      <c r="I238" s="133"/>
      <c r="J238" s="41"/>
      <c r="K238" s="42"/>
      <c r="L238" s="484"/>
      <c r="M238" s="42"/>
      <c r="N238" s="42"/>
      <c r="O238" s="134"/>
      <c r="P238" s="134"/>
      <c r="Q238" s="42"/>
      <c r="R238" s="42"/>
      <c r="S238" s="42"/>
      <c r="T238" s="134"/>
      <c r="U238" s="134"/>
    </row>
    <row r="239" spans="1:21" ht="18.75" hidden="1" x14ac:dyDescent="0.25">
      <c r="A239" s="136"/>
      <c r="B239" s="137"/>
      <c r="C239" s="137"/>
      <c r="D239" s="164" t="s">
        <v>108</v>
      </c>
      <c r="E239" s="167"/>
      <c r="F239" s="167"/>
      <c r="G239" s="141"/>
      <c r="H239" s="232" t="s">
        <v>35</v>
      </c>
      <c r="I239" s="189">
        <f t="shared" ref="I239:J239" ca="1" si="154">I250+I261</f>
        <v>0</v>
      </c>
      <c r="J239" s="189">
        <f t="shared" si="154"/>
        <v>0</v>
      </c>
      <c r="K239" s="230">
        <f ca="1">IF(I239&gt;0,J239*100/I239,0)</f>
        <v>0</v>
      </c>
      <c r="L239" s="484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18.75" hidden="1" x14ac:dyDescent="0.25">
      <c r="A240" s="136"/>
      <c r="B240" s="137"/>
      <c r="C240" s="137"/>
      <c r="D240" s="240" t="s">
        <v>43</v>
      </c>
      <c r="E240" s="167"/>
      <c r="F240" s="167"/>
      <c r="G240" s="141"/>
      <c r="H240" s="141"/>
      <c r="I240" s="41"/>
      <c r="J240" s="41"/>
      <c r="K240" s="42"/>
      <c r="L240" s="484"/>
      <c r="M240" s="42"/>
      <c r="N240" s="42"/>
      <c r="O240" s="134"/>
      <c r="P240" s="134"/>
      <c r="Q240" s="42"/>
      <c r="R240" s="42"/>
      <c r="S240" s="42"/>
      <c r="T240" s="134"/>
      <c r="U240" s="134"/>
    </row>
    <row r="241" spans="1:21" ht="18.75" hidden="1" x14ac:dyDescent="0.25">
      <c r="A241" s="136"/>
      <c r="B241" s="137"/>
      <c r="C241" s="137"/>
      <c r="D241" s="137"/>
      <c r="E241" s="319" t="s">
        <v>109</v>
      </c>
      <c r="F241" s="167"/>
      <c r="G241" s="141"/>
      <c r="H241" s="232" t="s">
        <v>35</v>
      </c>
      <c r="I241" s="189">
        <f t="shared" ref="I241:J242" si="155">I252+I263</f>
        <v>0</v>
      </c>
      <c r="J241" s="189">
        <f t="shared" si="155"/>
        <v>0</v>
      </c>
      <c r="K241" s="230">
        <f t="shared" ref="K241:K243" si="156">IF(I241&gt;0,J241*100/I241,0)</f>
        <v>0</v>
      </c>
      <c r="L241" s="484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18.75" hidden="1" x14ac:dyDescent="0.25">
      <c r="A242" s="136"/>
      <c r="B242" s="137"/>
      <c r="C242" s="137"/>
      <c r="D242" s="137"/>
      <c r="E242" s="319" t="s">
        <v>110</v>
      </c>
      <c r="F242" s="167"/>
      <c r="G242" s="141"/>
      <c r="H242" s="232" t="s">
        <v>61</v>
      </c>
      <c r="I242" s="189">
        <f t="shared" si="155"/>
        <v>0</v>
      </c>
      <c r="J242" s="189">
        <f t="shared" si="155"/>
        <v>0</v>
      </c>
      <c r="K242" s="230">
        <f t="shared" si="156"/>
        <v>0</v>
      </c>
      <c r="L242" s="484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19.5" hidden="1" x14ac:dyDescent="0.3">
      <c r="A243" s="217"/>
      <c r="B243" s="218"/>
      <c r="C243" s="545" t="s">
        <v>111</v>
      </c>
      <c r="D243" s="220"/>
      <c r="E243" s="220"/>
      <c r="F243" s="220"/>
      <c r="G243" s="221"/>
      <c r="H243" s="546" t="s">
        <v>35</v>
      </c>
      <c r="I243" s="547">
        <f t="shared" ref="I243:J243" ca="1" si="157">I250</f>
        <v>0</v>
      </c>
      <c r="J243" s="547">
        <f t="shared" si="157"/>
        <v>0</v>
      </c>
      <c r="K243" s="548">
        <f t="shared" ca="1" si="156"/>
        <v>0</v>
      </c>
      <c r="L243" s="538"/>
      <c r="M243" s="225"/>
      <c r="N243" s="225"/>
      <c r="O243" s="225"/>
      <c r="P243" s="225"/>
      <c r="Q243" s="225"/>
      <c r="R243" s="225"/>
      <c r="S243" s="225"/>
      <c r="T243" s="225"/>
      <c r="U243" s="225"/>
    </row>
    <row r="244" spans="1:21" ht="19.5" hidden="1" x14ac:dyDescent="0.3">
      <c r="A244" s="126"/>
      <c r="B244" s="187"/>
      <c r="C244" s="549" t="s">
        <v>18</v>
      </c>
      <c r="D244" s="550" t="s">
        <v>19</v>
      </c>
      <c r="E244" s="187"/>
      <c r="F244" s="187"/>
      <c r="G244" s="39"/>
      <c r="H244" s="384" t="s">
        <v>14</v>
      </c>
      <c r="I244" s="133"/>
      <c r="J244" s="133"/>
      <c r="K244" s="134"/>
      <c r="L244" s="514">
        <f ca="1">L245+L246+L247+L248</f>
        <v>0</v>
      </c>
      <c r="M244" s="42"/>
      <c r="N244" s="515">
        <f>N245+N246+N247+N248</f>
        <v>0</v>
      </c>
      <c r="O244" s="515">
        <f ca="1">IF(L244&gt;0,N244*100/L244,0)</f>
        <v>0</v>
      </c>
      <c r="P244" s="515">
        <f>IF(M244&gt;0,N244*100/M244,0)</f>
        <v>0</v>
      </c>
      <c r="Q244" s="42"/>
      <c r="R244" s="42"/>
      <c r="S244" s="42"/>
      <c r="T244" s="42"/>
      <c r="U244" s="42"/>
    </row>
    <row r="245" spans="1:21" ht="18.75" hidden="1" x14ac:dyDescent="0.25">
      <c r="A245" s="126"/>
      <c r="B245" s="156"/>
      <c r="C245" s="187"/>
      <c r="D245" s="154" t="s">
        <v>86</v>
      </c>
      <c r="E245" s="187"/>
      <c r="F245" s="187"/>
      <c r="G245" s="39"/>
      <c r="H245" s="157" t="s">
        <v>14</v>
      </c>
      <c r="I245" s="133"/>
      <c r="J245" s="133"/>
      <c r="K245" s="134"/>
      <c r="L245" s="481">
        <f ca="1">IFERROR(__xludf.DUMMYFUNCTION("IMPORTRANGE(""https://docs.google.com/spreadsheets/d/1eHaY18a8A9IcSdp1K8H6x8fbOy06t2VsZHhMHf-1x7Y/edit?usp=sharing"",""แผน!AX21"")"),0)</f>
        <v>0</v>
      </c>
      <c r="M245" s="42"/>
      <c r="N245" s="541">
        <v>0</v>
      </c>
      <c r="O245" s="42"/>
      <c r="P245" s="42"/>
      <c r="Q245" s="42"/>
      <c r="R245" s="42"/>
      <c r="S245" s="42"/>
      <c r="T245" s="42"/>
      <c r="U245" s="42"/>
    </row>
    <row r="246" spans="1:21" ht="18.75" hidden="1" x14ac:dyDescent="0.25">
      <c r="A246" s="214"/>
      <c r="B246" s="156"/>
      <c r="C246" s="156"/>
      <c r="D246" s="154" t="s">
        <v>88</v>
      </c>
      <c r="E246" s="187"/>
      <c r="F246" s="187"/>
      <c r="G246" s="39"/>
      <c r="H246" s="157" t="s">
        <v>14</v>
      </c>
      <c r="I246" s="41"/>
      <c r="J246" s="41"/>
      <c r="K246" s="42"/>
      <c r="L246" s="481">
        <f ca="1">IFERROR(__xludf.DUMMYFUNCTION("IMPORTRANGE(""https://docs.google.com/spreadsheets/d/1eHaY18a8A9IcSdp1K8H6x8fbOy06t2VsZHhMHf-1x7Y/edit?usp=sharing"",""แผน!AY21"")"),0)</f>
        <v>0</v>
      </c>
      <c r="M246" s="42"/>
      <c r="N246" s="541">
        <v>0</v>
      </c>
      <c r="O246" s="42"/>
      <c r="P246" s="42"/>
      <c r="Q246" s="42"/>
      <c r="R246" s="42"/>
      <c r="S246" s="42"/>
      <c r="T246" s="42"/>
      <c r="U246" s="42"/>
    </row>
    <row r="247" spans="1:21" ht="18.75" hidden="1" x14ac:dyDescent="0.25">
      <c r="A247" s="214"/>
      <c r="B247" s="156"/>
      <c r="C247" s="156"/>
      <c r="D247" s="154" t="s">
        <v>106</v>
      </c>
      <c r="E247" s="187"/>
      <c r="F247" s="187"/>
      <c r="G247" s="39"/>
      <c r="H247" s="157" t="s">
        <v>14</v>
      </c>
      <c r="I247" s="41"/>
      <c r="J247" s="41"/>
      <c r="K247" s="42"/>
      <c r="L247" s="481">
        <f ca="1">IFERROR(__xludf.DUMMYFUNCTION("IMPORTRANGE(""https://docs.google.com/spreadsheets/d/1eHaY18a8A9IcSdp1K8H6x8fbOy06t2VsZHhMHf-1x7Y/edit?usp=sharing"",""แผน!AZ21"")"),0)</f>
        <v>0</v>
      </c>
      <c r="M247" s="42"/>
      <c r="N247" s="541">
        <v>0</v>
      </c>
      <c r="O247" s="42"/>
      <c r="P247" s="42"/>
      <c r="Q247" s="42"/>
      <c r="R247" s="42"/>
      <c r="S247" s="42"/>
      <c r="T247" s="42"/>
      <c r="U247" s="42"/>
    </row>
    <row r="248" spans="1:21" ht="18.75" hidden="1" x14ac:dyDescent="0.25">
      <c r="A248" s="214"/>
      <c r="B248" s="156"/>
      <c r="C248" s="156"/>
      <c r="D248" s="154" t="s">
        <v>107</v>
      </c>
      <c r="E248" s="187"/>
      <c r="F248" s="187"/>
      <c r="G248" s="39"/>
      <c r="H248" s="157" t="s">
        <v>14</v>
      </c>
      <c r="I248" s="41"/>
      <c r="J248" s="41"/>
      <c r="K248" s="42"/>
      <c r="L248" s="481">
        <f ca="1">IFERROR(__xludf.DUMMYFUNCTION("IMPORTRANGE(""https://docs.google.com/spreadsheets/d/1eHaY18a8A9IcSdp1K8H6x8fbOy06t2VsZHhMHf-1x7Y/edit?usp=sharing"",""แผน!BA21"")"),0)</f>
        <v>0</v>
      </c>
      <c r="M248" s="42"/>
      <c r="N248" s="541">
        <v>0</v>
      </c>
      <c r="O248" s="42"/>
      <c r="P248" s="42"/>
      <c r="Q248" s="42"/>
      <c r="R248" s="42"/>
      <c r="S248" s="42"/>
      <c r="T248" s="42"/>
      <c r="U248" s="42"/>
    </row>
    <row r="249" spans="1:21" ht="19.5" hidden="1" x14ac:dyDescent="0.3">
      <c r="A249" s="136"/>
      <c r="B249" s="137"/>
      <c r="C249" s="551" t="s">
        <v>18</v>
      </c>
      <c r="D249" s="552" t="s">
        <v>38</v>
      </c>
      <c r="E249" s="139"/>
      <c r="F249" s="139"/>
      <c r="G249" s="140"/>
      <c r="H249" s="141"/>
      <c r="I249" s="133"/>
      <c r="J249" s="41"/>
      <c r="K249" s="42"/>
      <c r="L249" s="484"/>
      <c r="M249" s="42"/>
      <c r="N249" s="42"/>
      <c r="O249" s="134"/>
      <c r="P249" s="134"/>
      <c r="Q249" s="42"/>
      <c r="R249" s="42"/>
      <c r="S249" s="42"/>
      <c r="T249" s="134"/>
      <c r="U249" s="134"/>
    </row>
    <row r="250" spans="1:21" ht="18.75" hidden="1" x14ac:dyDescent="0.25">
      <c r="A250" s="136"/>
      <c r="B250" s="137"/>
      <c r="C250" s="137"/>
      <c r="D250" s="180" t="s">
        <v>108</v>
      </c>
      <c r="E250" s="167"/>
      <c r="F250" s="167"/>
      <c r="G250" s="141"/>
      <c r="H250" s="553" t="s">
        <v>35</v>
      </c>
      <c r="I250" s="444">
        <f ca="1">IFERROR(__xludf.DUMMYFUNCTION("IMPORTRANGE(""https://docs.google.com/spreadsheets/d/1eHaY18a8A9IcSdp1K8H6x8fbOy06t2VsZHhMHf-1x7Y/edit?usp=sharing"",""แผน!BG21"")"),0)</f>
        <v>0</v>
      </c>
      <c r="J250" s="529">
        <v>0</v>
      </c>
      <c r="K250" s="80">
        <f ca="1">IF(I250&gt;0,J250*100/I250,0)</f>
        <v>0</v>
      </c>
      <c r="L250" s="484"/>
      <c r="M250" s="42"/>
      <c r="N250" s="42"/>
      <c r="O250" s="42"/>
      <c r="P250" s="42"/>
      <c r="Q250" s="42"/>
      <c r="R250" s="42"/>
      <c r="S250" s="42"/>
      <c r="T250" s="42"/>
      <c r="U250" s="42"/>
    </row>
    <row r="251" spans="1:21" ht="18.75" hidden="1" x14ac:dyDescent="0.25">
      <c r="A251" s="136"/>
      <c r="B251" s="137"/>
      <c r="C251" s="137"/>
      <c r="D251" s="554" t="s">
        <v>43</v>
      </c>
      <c r="E251" s="167"/>
      <c r="F251" s="167"/>
      <c r="G251" s="141"/>
      <c r="H251" s="141"/>
      <c r="I251" s="41"/>
      <c r="J251" s="41"/>
      <c r="K251" s="42"/>
      <c r="L251" s="484"/>
      <c r="M251" s="42"/>
      <c r="N251" s="42"/>
      <c r="O251" s="134"/>
      <c r="P251" s="134"/>
      <c r="Q251" s="42"/>
      <c r="R251" s="42"/>
      <c r="S251" s="42"/>
      <c r="T251" s="134"/>
      <c r="U251" s="134"/>
    </row>
    <row r="252" spans="1:21" ht="18.75" hidden="1" x14ac:dyDescent="0.25">
      <c r="A252" s="136"/>
      <c r="B252" s="137"/>
      <c r="C252" s="137"/>
      <c r="D252" s="137"/>
      <c r="E252" s="555" t="s">
        <v>109</v>
      </c>
      <c r="F252" s="167"/>
      <c r="G252" s="141"/>
      <c r="H252" s="553" t="s">
        <v>35</v>
      </c>
      <c r="I252" s="444">
        <v>0</v>
      </c>
      <c r="J252" s="529">
        <v>0</v>
      </c>
      <c r="K252" s="80">
        <f t="shared" ref="K252:K254" si="158">IF(I252&gt;0,J252*100/I252,0)</f>
        <v>0</v>
      </c>
      <c r="L252" s="484"/>
      <c r="M252" s="42"/>
      <c r="N252" s="42"/>
      <c r="O252" s="42"/>
      <c r="P252" s="42"/>
      <c r="Q252" s="42"/>
      <c r="R252" s="42"/>
      <c r="S252" s="42"/>
      <c r="T252" s="42"/>
      <c r="U252" s="42"/>
    </row>
    <row r="253" spans="1:21" ht="18.75" hidden="1" x14ac:dyDescent="0.25">
      <c r="A253" s="136"/>
      <c r="B253" s="137"/>
      <c r="C253" s="137"/>
      <c r="D253" s="137"/>
      <c r="E253" s="555" t="s">
        <v>110</v>
      </c>
      <c r="F253" s="167"/>
      <c r="G253" s="141"/>
      <c r="H253" s="553" t="s">
        <v>61</v>
      </c>
      <c r="I253" s="444">
        <v>0</v>
      </c>
      <c r="J253" s="529">
        <v>0</v>
      </c>
      <c r="K253" s="80">
        <f t="shared" si="158"/>
        <v>0</v>
      </c>
      <c r="L253" s="484"/>
      <c r="M253" s="42"/>
      <c r="N253" s="42"/>
      <c r="O253" s="42"/>
      <c r="P253" s="42"/>
      <c r="Q253" s="42"/>
      <c r="R253" s="42"/>
      <c r="S253" s="42"/>
      <c r="T253" s="42"/>
      <c r="U253" s="42"/>
    </row>
    <row r="254" spans="1:21" ht="19.5" hidden="1" x14ac:dyDescent="0.3">
      <c r="A254" s="217"/>
      <c r="B254" s="218"/>
      <c r="C254" s="545" t="s">
        <v>112</v>
      </c>
      <c r="D254" s="220"/>
      <c r="E254" s="220"/>
      <c r="F254" s="220"/>
      <c r="G254" s="221"/>
      <c r="H254" s="546" t="s">
        <v>35</v>
      </c>
      <c r="I254" s="547">
        <f t="shared" ref="I254:J254" ca="1" si="159">I261</f>
        <v>0</v>
      </c>
      <c r="J254" s="547">
        <f t="shared" si="159"/>
        <v>0</v>
      </c>
      <c r="K254" s="548">
        <f t="shared" ca="1" si="158"/>
        <v>0</v>
      </c>
      <c r="L254" s="538"/>
      <c r="M254" s="225"/>
      <c r="N254" s="225"/>
      <c r="O254" s="225"/>
      <c r="P254" s="225"/>
      <c r="Q254" s="225"/>
      <c r="R254" s="225"/>
      <c r="S254" s="225"/>
      <c r="T254" s="225"/>
      <c r="U254" s="225"/>
    </row>
    <row r="255" spans="1:21" ht="19.5" hidden="1" x14ac:dyDescent="0.3">
      <c r="A255" s="126"/>
      <c r="B255" s="187"/>
      <c r="C255" s="549" t="s">
        <v>18</v>
      </c>
      <c r="D255" s="556" t="s">
        <v>19</v>
      </c>
      <c r="E255" s="187"/>
      <c r="F255" s="187"/>
      <c r="G255" s="39"/>
      <c r="H255" s="384" t="s">
        <v>14</v>
      </c>
      <c r="I255" s="133"/>
      <c r="J255" s="133"/>
      <c r="K255" s="134"/>
      <c r="L255" s="514">
        <f ca="1">L256+L257+L258+L259</f>
        <v>0</v>
      </c>
      <c r="M255" s="42"/>
      <c r="N255" s="515">
        <f>N256+N257+N258+N259</f>
        <v>0</v>
      </c>
      <c r="O255" s="515">
        <f ca="1">IF(L255&gt;0,N255*100/L255,0)</f>
        <v>0</v>
      </c>
      <c r="P255" s="515">
        <f>IF(M255&gt;0,N255*100/M255,0)</f>
        <v>0</v>
      </c>
      <c r="Q255" s="42"/>
      <c r="R255" s="42"/>
      <c r="S255" s="42"/>
      <c r="T255" s="42"/>
      <c r="U255" s="42"/>
    </row>
    <row r="256" spans="1:21" ht="18.75" hidden="1" x14ac:dyDescent="0.25">
      <c r="A256" s="126"/>
      <c r="B256" s="156"/>
      <c r="C256" s="187"/>
      <c r="D256" s="154" t="s">
        <v>86</v>
      </c>
      <c r="E256" s="187"/>
      <c r="F256" s="187"/>
      <c r="G256" s="39"/>
      <c r="H256" s="157" t="s">
        <v>14</v>
      </c>
      <c r="I256" s="133"/>
      <c r="J256" s="133"/>
      <c r="K256" s="134"/>
      <c r="L256" s="481">
        <f ca="1">IFERROR(__xludf.DUMMYFUNCTION("IMPORTRANGE(""https://docs.google.com/spreadsheets/d/1eHaY18a8A9IcSdp1K8H6x8fbOy06t2VsZHhMHf-1x7Y/edit?usp=sharing"",""แผน!BB21"")"),0)</f>
        <v>0</v>
      </c>
      <c r="M256" s="42"/>
      <c r="N256" s="541">
        <v>0</v>
      </c>
      <c r="O256" s="42"/>
      <c r="P256" s="42"/>
      <c r="Q256" s="42"/>
      <c r="R256" s="42"/>
      <c r="S256" s="42"/>
      <c r="T256" s="42"/>
      <c r="U256" s="42"/>
    </row>
    <row r="257" spans="1:21" ht="18.75" hidden="1" x14ac:dyDescent="0.25">
      <c r="A257" s="214"/>
      <c r="B257" s="156"/>
      <c r="C257" s="156"/>
      <c r="D257" s="154" t="s">
        <v>88</v>
      </c>
      <c r="E257" s="187"/>
      <c r="F257" s="187"/>
      <c r="G257" s="39"/>
      <c r="H257" s="157" t="s">
        <v>14</v>
      </c>
      <c r="I257" s="41"/>
      <c r="J257" s="41"/>
      <c r="K257" s="42"/>
      <c r="L257" s="481">
        <f ca="1">IFERROR(__xludf.DUMMYFUNCTION("IMPORTRANGE(""https://docs.google.com/spreadsheets/d/1eHaY18a8A9IcSdp1K8H6x8fbOy06t2VsZHhMHf-1x7Y/edit?usp=sharing"",""แผน!BC21"")"),0)</f>
        <v>0</v>
      </c>
      <c r="M257" s="42"/>
      <c r="N257" s="541">
        <v>0</v>
      </c>
      <c r="O257" s="42"/>
      <c r="P257" s="42"/>
      <c r="Q257" s="42"/>
      <c r="R257" s="42"/>
      <c r="S257" s="42"/>
      <c r="T257" s="42"/>
      <c r="U257" s="42"/>
    </row>
    <row r="258" spans="1:21" ht="18.75" hidden="1" x14ac:dyDescent="0.25">
      <c r="A258" s="214"/>
      <c r="B258" s="156"/>
      <c r="C258" s="156"/>
      <c r="D258" s="154" t="s">
        <v>106</v>
      </c>
      <c r="E258" s="187"/>
      <c r="F258" s="187"/>
      <c r="G258" s="39"/>
      <c r="H258" s="157" t="s">
        <v>14</v>
      </c>
      <c r="I258" s="41"/>
      <c r="J258" s="41"/>
      <c r="K258" s="42"/>
      <c r="L258" s="481">
        <f ca="1">IFERROR(__xludf.DUMMYFUNCTION("IMPORTRANGE(""https://docs.google.com/spreadsheets/d/1eHaY18a8A9IcSdp1K8H6x8fbOy06t2VsZHhMHf-1x7Y/edit?usp=sharing"",""แผน!BD21"")"),0)</f>
        <v>0</v>
      </c>
      <c r="M258" s="42"/>
      <c r="N258" s="541">
        <v>0</v>
      </c>
      <c r="O258" s="42"/>
      <c r="P258" s="42"/>
      <c r="Q258" s="42"/>
      <c r="R258" s="42"/>
      <c r="S258" s="42"/>
      <c r="T258" s="42"/>
      <c r="U258" s="42"/>
    </row>
    <row r="259" spans="1:21" ht="18.75" hidden="1" x14ac:dyDescent="0.25">
      <c r="A259" s="214"/>
      <c r="B259" s="156"/>
      <c r="C259" s="156"/>
      <c r="D259" s="154" t="s">
        <v>107</v>
      </c>
      <c r="E259" s="187"/>
      <c r="F259" s="187"/>
      <c r="G259" s="39"/>
      <c r="H259" s="157" t="s">
        <v>14</v>
      </c>
      <c r="I259" s="41"/>
      <c r="J259" s="41"/>
      <c r="K259" s="42"/>
      <c r="L259" s="481">
        <f ca="1">IFERROR(__xludf.DUMMYFUNCTION("IMPORTRANGE(""https://docs.google.com/spreadsheets/d/1eHaY18a8A9IcSdp1K8H6x8fbOy06t2VsZHhMHf-1x7Y/edit?usp=sharing"",""แผน!BE21"")"),0)</f>
        <v>0</v>
      </c>
      <c r="M259" s="42"/>
      <c r="N259" s="541">
        <v>0</v>
      </c>
      <c r="O259" s="42"/>
      <c r="P259" s="42"/>
      <c r="Q259" s="42"/>
      <c r="R259" s="42"/>
      <c r="S259" s="42"/>
      <c r="T259" s="42"/>
      <c r="U259" s="42"/>
    </row>
    <row r="260" spans="1:21" ht="19.5" hidden="1" x14ac:dyDescent="0.3">
      <c r="A260" s="136"/>
      <c r="B260" s="137"/>
      <c r="C260" s="551" t="s">
        <v>18</v>
      </c>
      <c r="D260" s="552" t="s">
        <v>38</v>
      </c>
      <c r="E260" s="139"/>
      <c r="F260" s="139"/>
      <c r="G260" s="140"/>
      <c r="H260" s="141"/>
      <c r="I260" s="133"/>
      <c r="J260" s="41"/>
      <c r="K260" s="42"/>
      <c r="L260" s="484"/>
      <c r="M260" s="42"/>
      <c r="N260" s="42"/>
      <c r="O260" s="134"/>
      <c r="P260" s="134"/>
      <c r="Q260" s="42"/>
      <c r="R260" s="42"/>
      <c r="S260" s="42"/>
      <c r="T260" s="134"/>
      <c r="U260" s="134"/>
    </row>
    <row r="261" spans="1:21" ht="18.75" hidden="1" x14ac:dyDescent="0.25">
      <c r="A261" s="136"/>
      <c r="B261" s="137"/>
      <c r="C261" s="137"/>
      <c r="D261" s="180" t="s">
        <v>108</v>
      </c>
      <c r="E261" s="167"/>
      <c r="F261" s="167"/>
      <c r="G261" s="141"/>
      <c r="H261" s="553" t="s">
        <v>35</v>
      </c>
      <c r="I261" s="444">
        <f ca="1">IFERROR(__xludf.DUMMYFUNCTION("IMPORTRANGE(""https://docs.google.com/spreadsheets/d/1eHaY18a8A9IcSdp1K8H6x8fbOy06t2VsZHhMHf-1x7Y/edit?usp=sharing"",""แผน!BH21"")"),0)</f>
        <v>0</v>
      </c>
      <c r="J261" s="529">
        <v>0</v>
      </c>
      <c r="K261" s="80">
        <f ca="1">IF(I261&gt;0,J261*100/I261,0)</f>
        <v>0</v>
      </c>
      <c r="L261" s="484"/>
      <c r="M261" s="42"/>
      <c r="N261" s="42"/>
      <c r="O261" s="42"/>
      <c r="P261" s="42"/>
      <c r="Q261" s="42"/>
      <c r="R261" s="42"/>
      <c r="S261" s="42"/>
      <c r="T261" s="42"/>
      <c r="U261" s="42"/>
    </row>
    <row r="262" spans="1:21" ht="18.75" hidden="1" x14ac:dyDescent="0.25">
      <c r="A262" s="136"/>
      <c r="B262" s="137"/>
      <c r="C262" s="137"/>
      <c r="D262" s="554" t="s">
        <v>43</v>
      </c>
      <c r="E262" s="167"/>
      <c r="F262" s="167"/>
      <c r="G262" s="141"/>
      <c r="H262" s="141"/>
      <c r="I262" s="41"/>
      <c r="J262" s="41"/>
      <c r="K262" s="42"/>
      <c r="L262" s="484"/>
      <c r="M262" s="42"/>
      <c r="N262" s="42"/>
      <c r="O262" s="134"/>
      <c r="P262" s="134"/>
      <c r="Q262" s="42"/>
      <c r="R262" s="42"/>
      <c r="S262" s="42"/>
      <c r="T262" s="134"/>
      <c r="U262" s="134"/>
    </row>
    <row r="263" spans="1:21" ht="18.75" hidden="1" x14ac:dyDescent="0.25">
      <c r="A263" s="136"/>
      <c r="B263" s="137"/>
      <c r="C263" s="137"/>
      <c r="D263" s="137"/>
      <c r="E263" s="555" t="s">
        <v>109</v>
      </c>
      <c r="F263" s="167"/>
      <c r="G263" s="141"/>
      <c r="H263" s="553" t="s">
        <v>35</v>
      </c>
      <c r="I263" s="41"/>
      <c r="J263" s="529">
        <v>0</v>
      </c>
      <c r="K263" s="80">
        <f t="shared" ref="K263:K264" si="160">IF(I263&gt;0,J263*100/I263,0)</f>
        <v>0</v>
      </c>
      <c r="L263" s="484"/>
      <c r="M263" s="42"/>
      <c r="N263" s="42"/>
      <c r="O263" s="42"/>
      <c r="P263" s="42"/>
      <c r="Q263" s="42"/>
      <c r="R263" s="42"/>
      <c r="S263" s="42"/>
      <c r="T263" s="42"/>
      <c r="U263" s="42"/>
    </row>
    <row r="264" spans="1:21" ht="18.75" hidden="1" x14ac:dyDescent="0.25">
      <c r="A264" s="136"/>
      <c r="B264" s="137"/>
      <c r="C264" s="137"/>
      <c r="D264" s="137"/>
      <c r="E264" s="555" t="s">
        <v>110</v>
      </c>
      <c r="F264" s="167"/>
      <c r="G264" s="141"/>
      <c r="H264" s="553" t="s">
        <v>61</v>
      </c>
      <c r="I264" s="41"/>
      <c r="J264" s="529">
        <v>0</v>
      </c>
      <c r="K264" s="80">
        <f t="shared" si="160"/>
        <v>0</v>
      </c>
      <c r="L264" s="484"/>
      <c r="M264" s="42"/>
      <c r="N264" s="42"/>
      <c r="O264" s="42"/>
      <c r="P264" s="42"/>
      <c r="Q264" s="42"/>
      <c r="R264" s="42"/>
      <c r="S264" s="42"/>
      <c r="T264" s="42"/>
      <c r="U264" s="42"/>
    </row>
    <row r="265" spans="1:21" ht="19.5" x14ac:dyDescent="0.3">
      <c r="A265" s="557" t="s">
        <v>113</v>
      </c>
      <c r="B265" s="558"/>
      <c r="C265" s="558"/>
      <c r="D265" s="559"/>
      <c r="E265" s="559"/>
      <c r="F265" s="559"/>
      <c r="G265" s="560"/>
      <c r="H265" s="560"/>
      <c r="I265" s="561"/>
      <c r="J265" s="561"/>
      <c r="K265" s="562"/>
      <c r="L265" s="563"/>
      <c r="M265" s="562"/>
      <c r="N265" s="562"/>
      <c r="O265" s="562"/>
      <c r="P265" s="562"/>
      <c r="Q265" s="562"/>
      <c r="R265" s="562"/>
      <c r="S265" s="562"/>
      <c r="T265" s="562"/>
      <c r="U265" s="562"/>
    </row>
    <row r="266" spans="1:21" ht="19.5" x14ac:dyDescent="0.3">
      <c r="A266" s="564"/>
      <c r="B266" s="565" t="s">
        <v>114</v>
      </c>
      <c r="C266" s="566"/>
      <c r="D266" s="567"/>
      <c r="E266" s="567"/>
      <c r="F266" s="567"/>
      <c r="G266" s="568"/>
      <c r="H266" s="569" t="s">
        <v>35</v>
      </c>
      <c r="I266" s="570">
        <f t="shared" ref="I266:J266" ca="1" si="161">I277</f>
        <v>22</v>
      </c>
      <c r="J266" s="570">
        <f t="shared" si="161"/>
        <v>0</v>
      </c>
      <c r="K266" s="571">
        <f ca="1">IF(I266&gt;0,J266*100/I266,0)</f>
        <v>0</v>
      </c>
      <c r="L266" s="572"/>
      <c r="M266" s="573"/>
      <c r="N266" s="573"/>
      <c r="O266" s="573"/>
      <c r="P266" s="573"/>
      <c r="Q266" s="573"/>
      <c r="R266" s="573"/>
      <c r="S266" s="573"/>
      <c r="T266" s="573"/>
      <c r="U266" s="573"/>
    </row>
    <row r="267" spans="1:21" ht="19.5" x14ac:dyDescent="0.3">
      <c r="A267" s="574"/>
      <c r="B267" s="575"/>
      <c r="C267" s="576" t="s">
        <v>18</v>
      </c>
      <c r="D267" s="577" t="s">
        <v>19</v>
      </c>
      <c r="E267" s="575"/>
      <c r="F267" s="575"/>
      <c r="G267" s="578"/>
      <c r="H267" s="579" t="s">
        <v>14</v>
      </c>
      <c r="I267" s="580"/>
      <c r="J267" s="580"/>
      <c r="K267" s="581"/>
      <c r="L267" s="582">
        <f t="shared" ref="L267:N267" ca="1" si="162">L268+L269</f>
        <v>0</v>
      </c>
      <c r="M267" s="583">
        <f t="shared" ca="1" si="162"/>
        <v>5000</v>
      </c>
      <c r="N267" s="583">
        <f t="shared" ca="1" si="162"/>
        <v>0</v>
      </c>
      <c r="O267" s="583">
        <f t="shared" ref="O267:O275" ca="1" si="163">IF(L267&gt;0,N267*100/L267,0)</f>
        <v>0</v>
      </c>
      <c r="P267" s="583">
        <f t="shared" ref="P267:P275" ca="1" si="164">IF(M267&gt;0,N267*100/M267,0)</f>
        <v>0</v>
      </c>
      <c r="Q267" s="583">
        <f t="shared" ref="Q267:S267" ca="1" si="165">Q268+Q269</f>
        <v>50660</v>
      </c>
      <c r="R267" s="583">
        <f t="shared" ca="1" si="165"/>
        <v>50660</v>
      </c>
      <c r="S267" s="583">
        <f t="shared" ca="1" si="165"/>
        <v>0</v>
      </c>
      <c r="T267" s="583">
        <f t="shared" ref="T267:T275" ca="1" si="166">IF(Q267&gt;0,S267*100/Q267,0)</f>
        <v>0</v>
      </c>
      <c r="U267" s="583">
        <f t="shared" ref="U267:U275" ca="1" si="167">IF(R267&gt;0,S267*100/R267,0)</f>
        <v>0</v>
      </c>
    </row>
    <row r="268" spans="1:21" ht="18.75" hidden="1" x14ac:dyDescent="0.25">
      <c r="A268" s="584"/>
      <c r="B268" s="585"/>
      <c r="C268" s="585"/>
      <c r="D268" s="585"/>
      <c r="E268" s="154" t="s">
        <v>20</v>
      </c>
      <c r="F268" s="585"/>
      <c r="G268" s="586"/>
      <c r="H268" s="155" t="s">
        <v>14</v>
      </c>
      <c r="I268" s="587"/>
      <c r="J268" s="587"/>
      <c r="K268" s="588"/>
      <c r="L268" s="483">
        <f t="shared" ref="L268:N269" si="168">L271+L274</f>
        <v>0</v>
      </c>
      <c r="M268" s="80">
        <f t="shared" si="168"/>
        <v>0</v>
      </c>
      <c r="N268" s="80">
        <f t="shared" si="168"/>
        <v>0</v>
      </c>
      <c r="O268" s="80">
        <f t="shared" si="163"/>
        <v>0</v>
      </c>
      <c r="P268" s="80">
        <f t="shared" si="164"/>
        <v>0</v>
      </c>
      <c r="Q268" s="80">
        <f t="shared" ref="Q268:S269" si="169">Q271+Q274</f>
        <v>0</v>
      </c>
      <c r="R268" s="80">
        <f t="shared" si="169"/>
        <v>0</v>
      </c>
      <c r="S268" s="80">
        <f t="shared" si="169"/>
        <v>0</v>
      </c>
      <c r="T268" s="80">
        <f t="shared" si="166"/>
        <v>0</v>
      </c>
      <c r="U268" s="80">
        <f t="shared" si="167"/>
        <v>0</v>
      </c>
    </row>
    <row r="269" spans="1:21" ht="18.75" hidden="1" x14ac:dyDescent="0.25">
      <c r="A269" s="574"/>
      <c r="B269" s="575"/>
      <c r="C269" s="575"/>
      <c r="D269" s="575"/>
      <c r="E269" s="589" t="s">
        <v>21</v>
      </c>
      <c r="F269" s="575"/>
      <c r="G269" s="578"/>
      <c r="H269" s="590" t="s">
        <v>14</v>
      </c>
      <c r="I269" s="580"/>
      <c r="J269" s="580"/>
      <c r="K269" s="581"/>
      <c r="L269" s="591">
        <f t="shared" ca="1" si="168"/>
        <v>0</v>
      </c>
      <c r="M269" s="592">
        <f t="shared" ca="1" si="168"/>
        <v>5000</v>
      </c>
      <c r="N269" s="592">
        <f t="shared" ca="1" si="168"/>
        <v>0</v>
      </c>
      <c r="O269" s="592">
        <f t="shared" ca="1" si="163"/>
        <v>0</v>
      </c>
      <c r="P269" s="592">
        <f t="shared" ca="1" si="164"/>
        <v>0</v>
      </c>
      <c r="Q269" s="592">
        <f t="shared" ca="1" si="169"/>
        <v>50660</v>
      </c>
      <c r="R269" s="592">
        <f t="shared" ca="1" si="169"/>
        <v>50660</v>
      </c>
      <c r="S269" s="592">
        <f t="shared" ca="1" si="169"/>
        <v>0</v>
      </c>
      <c r="T269" s="592">
        <f t="shared" ca="1" si="166"/>
        <v>0</v>
      </c>
      <c r="U269" s="592">
        <f t="shared" ca="1" si="167"/>
        <v>0</v>
      </c>
    </row>
    <row r="270" spans="1:21" ht="18.75" x14ac:dyDescent="0.25">
      <c r="A270" s="574"/>
      <c r="B270" s="575"/>
      <c r="C270" s="575"/>
      <c r="D270" s="593" t="s">
        <v>22</v>
      </c>
      <c r="E270" s="575"/>
      <c r="F270" s="575"/>
      <c r="G270" s="578"/>
      <c r="H270" s="594" t="s">
        <v>14</v>
      </c>
      <c r="I270" s="595"/>
      <c r="J270" s="595"/>
      <c r="K270" s="596"/>
      <c r="L270" s="591">
        <f t="shared" ref="L270:N270" ca="1" si="170">L271+L272</f>
        <v>0</v>
      </c>
      <c r="M270" s="592">
        <f t="shared" ca="1" si="170"/>
        <v>5000</v>
      </c>
      <c r="N270" s="592">
        <f t="shared" ca="1" si="170"/>
        <v>0</v>
      </c>
      <c r="O270" s="592">
        <f t="shared" ca="1" si="163"/>
        <v>0</v>
      </c>
      <c r="P270" s="592">
        <f t="shared" ca="1" si="164"/>
        <v>0</v>
      </c>
      <c r="Q270" s="592">
        <f t="shared" ref="Q270:S270" ca="1" si="171">Q271+Q272</f>
        <v>50660</v>
      </c>
      <c r="R270" s="592">
        <f t="shared" ca="1" si="171"/>
        <v>50660</v>
      </c>
      <c r="S270" s="592">
        <f t="shared" ca="1" si="171"/>
        <v>0</v>
      </c>
      <c r="T270" s="592">
        <f t="shared" ca="1" si="166"/>
        <v>0</v>
      </c>
      <c r="U270" s="592">
        <f t="shared" ca="1" si="167"/>
        <v>0</v>
      </c>
    </row>
    <row r="271" spans="1:21" ht="18.75" hidden="1" x14ac:dyDescent="0.25">
      <c r="A271" s="584"/>
      <c r="B271" s="585"/>
      <c r="C271" s="585"/>
      <c r="D271" s="585"/>
      <c r="E271" s="154" t="s">
        <v>36</v>
      </c>
      <c r="F271" s="585"/>
      <c r="G271" s="586"/>
      <c r="H271" s="157" t="s">
        <v>14</v>
      </c>
      <c r="I271" s="597"/>
      <c r="J271" s="597"/>
      <c r="K271" s="598"/>
      <c r="L271" s="483">
        <v>0</v>
      </c>
      <c r="M271" s="80">
        <v>0</v>
      </c>
      <c r="N271" s="80">
        <v>0</v>
      </c>
      <c r="O271" s="80">
        <f t="shared" si="163"/>
        <v>0</v>
      </c>
      <c r="P271" s="80">
        <f t="shared" si="164"/>
        <v>0</v>
      </c>
      <c r="Q271" s="80">
        <v>0</v>
      </c>
      <c r="R271" s="80">
        <v>0</v>
      </c>
      <c r="S271" s="80">
        <v>0</v>
      </c>
      <c r="T271" s="80">
        <f t="shared" si="166"/>
        <v>0</v>
      </c>
      <c r="U271" s="80">
        <f t="shared" si="167"/>
        <v>0</v>
      </c>
    </row>
    <row r="272" spans="1:21" ht="18.75" hidden="1" x14ac:dyDescent="0.25">
      <c r="A272" s="574"/>
      <c r="B272" s="575"/>
      <c r="C272" s="575"/>
      <c r="D272" s="575"/>
      <c r="E272" s="589" t="s">
        <v>37</v>
      </c>
      <c r="F272" s="575"/>
      <c r="G272" s="578"/>
      <c r="H272" s="594" t="s">
        <v>14</v>
      </c>
      <c r="I272" s="595"/>
      <c r="J272" s="595"/>
      <c r="K272" s="596"/>
      <c r="L272" s="591">
        <f ca="1">IFERROR(__xludf.DUMMYFUNCTION("IMPORTRANGE(""https://docs.google.com/spreadsheets/d/1-uDff_7J0KD5mKrp0Vvzr7lt3OU09vwQwhkpOPPYv2Y/edit?usp=sharing"",""งบพรบ!DE21"")"),0)</f>
        <v>0</v>
      </c>
      <c r="M272" s="592">
        <f ca="1">IFERROR(__xludf.DUMMYFUNCTION("IMPORTRANGE(""https://docs.google.com/spreadsheets/d/1-uDff_7J0KD5mKrp0Vvzr7lt3OU09vwQwhkpOPPYv2Y/edit?usp=sharing"",""งบพรบ!DJ21"")"),5000)</f>
        <v>5000</v>
      </c>
      <c r="N272" s="592">
        <f ca="1">IFERROR(__xludf.DUMMYFUNCTION("IMPORTRANGE(""https://docs.google.com/spreadsheets/d/1-uDff_7J0KD5mKrp0Vvzr7lt3OU09vwQwhkpOPPYv2Y/edit?usp=sharing"",""งบพรบ!DL21"")"),0)</f>
        <v>0</v>
      </c>
      <c r="O272" s="592">
        <f t="shared" ca="1" si="163"/>
        <v>0</v>
      </c>
      <c r="P272" s="592">
        <f t="shared" ca="1" si="164"/>
        <v>0</v>
      </c>
      <c r="Q272" s="592">
        <f ca="1">IFERROR(__xludf.DUMMYFUNCTION("IMPORTRANGE(""https://docs.google.com/spreadsheets/d/1ItG2mGa2ceCfYo0BwxsXqNm01IGEUdYcSSLTEv9YCik/edit?usp=sharing"",""เบิกจ่ายกองทุน!AJ21"")"),50660)</f>
        <v>50660</v>
      </c>
      <c r="R272" s="592">
        <f ca="1">IFERROR(__xludf.DUMMYFUNCTION("IMPORTRANGE(""https://docs.google.com/spreadsheets/d/1ItG2mGa2ceCfYo0BwxsXqNm01IGEUdYcSSLTEv9YCik/edit?usp=sharing"",""เบิกจ่ายกองทุน!AK21"")"),50660)</f>
        <v>50660</v>
      </c>
      <c r="S272" s="592">
        <f ca="1">IFERROR(__xludf.DUMMYFUNCTION("IMPORTRANGE(""https://docs.google.com/spreadsheets/d/1ItG2mGa2ceCfYo0BwxsXqNm01IGEUdYcSSLTEv9YCik/edit?usp=sharing"",""เบิกจ่ายกองทุน!AL21"")"),0)</f>
        <v>0</v>
      </c>
      <c r="T272" s="592">
        <f t="shared" ca="1" si="166"/>
        <v>0</v>
      </c>
      <c r="U272" s="592">
        <f t="shared" ca="1" si="167"/>
        <v>0</v>
      </c>
    </row>
    <row r="273" spans="1:21" ht="18.75" x14ac:dyDescent="0.25">
      <c r="A273" s="574"/>
      <c r="B273" s="575"/>
      <c r="C273" s="575"/>
      <c r="D273" s="593" t="s">
        <v>23</v>
      </c>
      <c r="E273" s="575"/>
      <c r="F273" s="575"/>
      <c r="G273" s="578"/>
      <c r="H273" s="599" t="s">
        <v>14</v>
      </c>
      <c r="I273" s="595"/>
      <c r="J273" s="595"/>
      <c r="K273" s="596"/>
      <c r="L273" s="591">
        <f t="shared" ref="L273:N273" ca="1" si="172">L274+L275</f>
        <v>0</v>
      </c>
      <c r="M273" s="592">
        <f t="shared" ca="1" si="172"/>
        <v>0</v>
      </c>
      <c r="N273" s="592">
        <f t="shared" ca="1" si="172"/>
        <v>0</v>
      </c>
      <c r="O273" s="592">
        <f t="shared" ca="1" si="163"/>
        <v>0</v>
      </c>
      <c r="P273" s="592">
        <f t="shared" ca="1" si="164"/>
        <v>0</v>
      </c>
      <c r="Q273" s="592">
        <f t="shared" ref="Q273:S273" si="173">Q274+Q275</f>
        <v>0</v>
      </c>
      <c r="R273" s="592">
        <f t="shared" si="173"/>
        <v>0</v>
      </c>
      <c r="S273" s="592">
        <f t="shared" si="173"/>
        <v>0</v>
      </c>
      <c r="T273" s="592">
        <f t="shared" si="166"/>
        <v>0</v>
      </c>
      <c r="U273" s="592">
        <f t="shared" si="167"/>
        <v>0</v>
      </c>
    </row>
    <row r="274" spans="1:21" ht="18.75" hidden="1" x14ac:dyDescent="0.25">
      <c r="A274" s="584"/>
      <c r="B274" s="585"/>
      <c r="C274" s="585"/>
      <c r="D274" s="585"/>
      <c r="E274" s="154" t="s">
        <v>20</v>
      </c>
      <c r="F274" s="585"/>
      <c r="G274" s="586"/>
      <c r="H274" s="157" t="s">
        <v>14</v>
      </c>
      <c r="I274" s="597"/>
      <c r="J274" s="597"/>
      <c r="K274" s="598"/>
      <c r="L274" s="483">
        <v>0</v>
      </c>
      <c r="M274" s="80">
        <v>0</v>
      </c>
      <c r="N274" s="80">
        <v>0</v>
      </c>
      <c r="O274" s="80">
        <f t="shared" si="163"/>
        <v>0</v>
      </c>
      <c r="P274" s="80">
        <f t="shared" si="164"/>
        <v>0</v>
      </c>
      <c r="Q274" s="80">
        <v>0</v>
      </c>
      <c r="R274" s="80">
        <v>0</v>
      </c>
      <c r="S274" s="80">
        <v>0</v>
      </c>
      <c r="T274" s="80">
        <f t="shared" si="166"/>
        <v>0</v>
      </c>
      <c r="U274" s="80">
        <f t="shared" si="167"/>
        <v>0</v>
      </c>
    </row>
    <row r="275" spans="1:21" ht="18.75" hidden="1" x14ac:dyDescent="0.25">
      <c r="A275" s="574"/>
      <c r="B275" s="575"/>
      <c r="C275" s="575"/>
      <c r="D275" s="575"/>
      <c r="E275" s="589" t="s">
        <v>21</v>
      </c>
      <c r="F275" s="575"/>
      <c r="G275" s="578"/>
      <c r="H275" s="599" t="s">
        <v>14</v>
      </c>
      <c r="I275" s="595"/>
      <c r="J275" s="595"/>
      <c r="K275" s="596"/>
      <c r="L275" s="591">
        <f ca="1">IFERROR(__xludf.DUMMYFUNCTION("IMPORTRANGE(""https://docs.google.com/spreadsheets/d/1-uDff_7J0KD5mKrp0Vvzr7lt3OU09vwQwhkpOPPYv2Y/edit?usp=sharing"",""งบพรบ!DH21"")"),0)</f>
        <v>0</v>
      </c>
      <c r="M275" s="592">
        <f ca="1">IFERROR(__xludf.DUMMYFUNCTION("IMPORTRANGE(""https://docs.google.com/spreadsheets/d/1-uDff_7J0KD5mKrp0Vvzr7lt3OU09vwQwhkpOPPYv2Y/edit?usp=sharing"",""งบพรบ!DK21"")"),0)</f>
        <v>0</v>
      </c>
      <c r="N275" s="592">
        <f ca="1">IFERROR(__xludf.DUMMYFUNCTION("IMPORTRANGE(""https://docs.google.com/spreadsheets/d/1-uDff_7J0KD5mKrp0Vvzr7lt3OU09vwQwhkpOPPYv2Y/edit?usp=sharing"",""งบพรบ!DM21"")"),0)</f>
        <v>0</v>
      </c>
      <c r="O275" s="592">
        <f t="shared" ca="1" si="163"/>
        <v>0</v>
      </c>
      <c r="P275" s="592">
        <f t="shared" ca="1" si="164"/>
        <v>0</v>
      </c>
      <c r="Q275" s="592">
        <v>0</v>
      </c>
      <c r="R275" s="592">
        <v>0</v>
      </c>
      <c r="S275" s="592">
        <v>0</v>
      </c>
      <c r="T275" s="592">
        <f t="shared" si="166"/>
        <v>0</v>
      </c>
      <c r="U275" s="592">
        <f t="shared" si="167"/>
        <v>0</v>
      </c>
    </row>
    <row r="276" spans="1:21" ht="19.5" x14ac:dyDescent="0.3">
      <c r="A276" s="600"/>
      <c r="B276" s="601"/>
      <c r="C276" s="589" t="s">
        <v>18</v>
      </c>
      <c r="D276" s="602" t="s">
        <v>38</v>
      </c>
      <c r="E276" s="567"/>
      <c r="F276" s="567"/>
      <c r="G276" s="568"/>
      <c r="H276" s="603"/>
      <c r="I276" s="595"/>
      <c r="J276" s="595"/>
      <c r="K276" s="596"/>
      <c r="L276" s="604"/>
      <c r="M276" s="596"/>
      <c r="N276" s="596"/>
      <c r="O276" s="596"/>
      <c r="P276" s="596"/>
      <c r="Q276" s="596"/>
      <c r="R276" s="596"/>
      <c r="S276" s="596"/>
      <c r="T276" s="596"/>
      <c r="U276" s="596"/>
    </row>
    <row r="277" spans="1:21" ht="18.75" x14ac:dyDescent="0.25">
      <c r="A277" s="605"/>
      <c r="B277" s="606"/>
      <c r="C277" s="606"/>
      <c r="D277" s="607" t="s">
        <v>115</v>
      </c>
      <c r="E277" s="608"/>
      <c r="F277" s="608"/>
      <c r="G277" s="609"/>
      <c r="H277" s="610" t="s">
        <v>35</v>
      </c>
      <c r="I277" s="611">
        <f ca="1">IFERROR(__xludf.DUMMYFUNCTION("IMPORTRANGE(""https://docs.google.com/spreadsheets/d/1eHaY18a8A9IcSdp1K8H6x8fbOy06t2VsZHhMHf-1x7Y/edit?usp=sharing"",""แผน!EC21"")"),22)</f>
        <v>22</v>
      </c>
      <c r="J277" s="612">
        <v>0</v>
      </c>
      <c r="K277" s="613">
        <f ca="1">IF(I277&gt;0,J277*100/I277,0)</f>
        <v>0</v>
      </c>
      <c r="L277" s="484"/>
      <c r="M277" s="42"/>
      <c r="N277" s="42"/>
      <c r="O277" s="42"/>
      <c r="P277" s="42"/>
      <c r="Q277" s="42"/>
      <c r="R277" s="42"/>
      <c r="S277" s="42"/>
      <c r="T277" s="42"/>
      <c r="U277" s="42"/>
    </row>
    <row r="278" spans="1:21" ht="18.75" hidden="1" x14ac:dyDescent="0.25">
      <c r="A278" s="257"/>
      <c r="B278" s="258"/>
      <c r="C278" s="258"/>
      <c r="D278" s="614" t="s">
        <v>116</v>
      </c>
      <c r="E278" s="260"/>
      <c r="F278" s="260"/>
      <c r="G278" s="261"/>
      <c r="H278" s="615" t="s">
        <v>35</v>
      </c>
      <c r="I278" s="447">
        <v>0</v>
      </c>
      <c r="J278" s="447">
        <v>0</v>
      </c>
      <c r="K278" s="616">
        <v>0</v>
      </c>
      <c r="L278" s="617"/>
      <c r="M278" s="263"/>
      <c r="N278" s="263"/>
      <c r="O278" s="263"/>
      <c r="P278" s="263"/>
      <c r="Q278" s="263"/>
      <c r="R278" s="263"/>
      <c r="S278" s="263"/>
      <c r="T278" s="263"/>
      <c r="U278" s="263"/>
    </row>
    <row r="279" spans="1:21" ht="19.5" x14ac:dyDescent="0.3">
      <c r="A279" s="264" t="s">
        <v>117</v>
      </c>
      <c r="B279" s="265"/>
      <c r="C279" s="265"/>
      <c r="D279" s="265"/>
      <c r="E279" s="266"/>
      <c r="F279" s="266"/>
      <c r="G279" s="266"/>
      <c r="H279" s="266"/>
      <c r="I279" s="267"/>
      <c r="J279" s="267"/>
      <c r="K279" s="268"/>
      <c r="L279" s="268"/>
      <c r="M279" s="268"/>
      <c r="N279" s="268"/>
      <c r="O279" s="268"/>
      <c r="P279" s="269"/>
      <c r="Q279" s="268"/>
      <c r="R279" s="268"/>
      <c r="S279" s="268"/>
      <c r="T279" s="268"/>
      <c r="U279" s="269"/>
    </row>
    <row r="280" spans="1:21" ht="19.5" x14ac:dyDescent="0.3">
      <c r="A280" s="270" t="s">
        <v>118</v>
      </c>
      <c r="B280" s="271"/>
      <c r="C280" s="272"/>
      <c r="D280" s="271"/>
      <c r="E280" s="271"/>
      <c r="F280" s="271"/>
      <c r="G280" s="271"/>
      <c r="H280" s="271"/>
      <c r="I280" s="273"/>
      <c r="J280" s="274"/>
      <c r="K280" s="275"/>
      <c r="L280" s="618"/>
      <c r="M280" s="275"/>
      <c r="N280" s="275"/>
      <c r="O280" s="275"/>
      <c r="P280" s="275"/>
      <c r="Q280" s="275"/>
      <c r="R280" s="275"/>
      <c r="S280" s="275"/>
      <c r="T280" s="275"/>
      <c r="U280" s="275"/>
    </row>
    <row r="281" spans="1:21" ht="19.5" x14ac:dyDescent="0.3">
      <c r="A281" s="276"/>
      <c r="B281" s="277" t="s">
        <v>119</v>
      </c>
      <c r="C281" s="278"/>
      <c r="D281" s="279"/>
      <c r="E281" s="278"/>
      <c r="F281" s="278"/>
      <c r="G281" s="280"/>
      <c r="H281" s="281" t="s">
        <v>35</v>
      </c>
      <c r="I281" s="619">
        <f t="shared" ref="I281:J281" ca="1" si="174">I294</f>
        <v>10</v>
      </c>
      <c r="J281" s="619">
        <f t="shared" si="174"/>
        <v>0</v>
      </c>
      <c r="K281" s="620">
        <f t="shared" ref="K281:K282" ca="1" si="175">IF(I281&gt;0,J281*100/I281,0)</f>
        <v>0</v>
      </c>
      <c r="L281" s="621"/>
      <c r="M281" s="284"/>
      <c r="N281" s="284"/>
      <c r="O281" s="284"/>
      <c r="P281" s="284"/>
      <c r="Q281" s="284"/>
      <c r="R281" s="284"/>
      <c r="S281" s="284"/>
      <c r="T281" s="284"/>
      <c r="U281" s="284"/>
    </row>
    <row r="282" spans="1:21" ht="19.5" x14ac:dyDescent="0.3">
      <c r="A282" s="276"/>
      <c r="B282" s="278"/>
      <c r="C282" s="278"/>
      <c r="D282" s="279"/>
      <c r="E282" s="278"/>
      <c r="F282" s="278"/>
      <c r="G282" s="280"/>
      <c r="H282" s="281" t="s">
        <v>46</v>
      </c>
      <c r="I282" s="619">
        <f t="shared" ref="I282:J282" ca="1" si="176">I293</f>
        <v>100</v>
      </c>
      <c r="J282" s="619">
        <f t="shared" si="176"/>
        <v>0</v>
      </c>
      <c r="K282" s="620">
        <f t="shared" ca="1" si="175"/>
        <v>0</v>
      </c>
      <c r="L282" s="621"/>
      <c r="M282" s="284"/>
      <c r="N282" s="284"/>
      <c r="O282" s="284"/>
      <c r="P282" s="284"/>
      <c r="Q282" s="284"/>
      <c r="R282" s="284"/>
      <c r="S282" s="284"/>
      <c r="T282" s="284"/>
      <c r="U282" s="284"/>
    </row>
    <row r="283" spans="1:21" ht="19.5" x14ac:dyDescent="0.3">
      <c r="A283" s="126"/>
      <c r="B283" s="187"/>
      <c r="C283" s="186" t="s">
        <v>18</v>
      </c>
      <c r="D283" s="513" t="s">
        <v>19</v>
      </c>
      <c r="E283" s="187"/>
      <c r="F283" s="187"/>
      <c r="G283" s="39"/>
      <c r="H283" s="129" t="s">
        <v>14</v>
      </c>
      <c r="I283" s="41"/>
      <c r="J283" s="41"/>
      <c r="K283" s="42"/>
      <c r="L283" s="514">
        <f t="shared" ref="L283:N283" ca="1" si="177">L284+L285</f>
        <v>132320</v>
      </c>
      <c r="M283" s="515">
        <f t="shared" ca="1" si="177"/>
        <v>132320</v>
      </c>
      <c r="N283" s="515">
        <f t="shared" ca="1" si="177"/>
        <v>46391</v>
      </c>
      <c r="O283" s="515">
        <f t="shared" ref="O283:O291" ca="1" si="178">IF(L283&gt;0,N283*100/L283,0)</f>
        <v>35.059703748488509</v>
      </c>
      <c r="P283" s="515">
        <f t="shared" ref="P283:P291" ca="1" si="179">IF(M283&gt;0,N283*100/M283,0)</f>
        <v>35.059703748488509</v>
      </c>
      <c r="Q283" s="515">
        <f t="shared" ref="Q283:S283" si="180">Q284+Q285</f>
        <v>0</v>
      </c>
      <c r="R283" s="515">
        <f t="shared" si="180"/>
        <v>0</v>
      </c>
      <c r="S283" s="515">
        <f t="shared" si="180"/>
        <v>0</v>
      </c>
      <c r="T283" s="515">
        <f t="shared" ref="T283:T291" si="181">IF(Q283&gt;0,S283*100/Q283,0)</f>
        <v>0</v>
      </c>
      <c r="U283" s="515">
        <f t="shared" ref="U283:U291" si="182">IF(R283&gt;0,S283*100/R283,0)</f>
        <v>0</v>
      </c>
    </row>
    <row r="284" spans="1:21" ht="18.75" hidden="1" x14ac:dyDescent="0.25">
      <c r="A284" s="126"/>
      <c r="B284" s="187"/>
      <c r="C284" s="187"/>
      <c r="D284" s="187"/>
      <c r="E284" s="154" t="s">
        <v>20</v>
      </c>
      <c r="F284" s="187"/>
      <c r="G284" s="39"/>
      <c r="H284" s="155" t="s">
        <v>14</v>
      </c>
      <c r="I284" s="41"/>
      <c r="J284" s="41"/>
      <c r="K284" s="42"/>
      <c r="L284" s="483">
        <f t="shared" ref="L284:N285" si="183">L287+L290</f>
        <v>0</v>
      </c>
      <c r="M284" s="80">
        <f t="shared" si="183"/>
        <v>0</v>
      </c>
      <c r="N284" s="80">
        <f t="shared" si="183"/>
        <v>0</v>
      </c>
      <c r="O284" s="80">
        <f t="shared" si="178"/>
        <v>0</v>
      </c>
      <c r="P284" s="80">
        <f t="shared" si="179"/>
        <v>0</v>
      </c>
      <c r="Q284" s="80">
        <f t="shared" ref="Q284:S285" si="184">Q287+Q290</f>
        <v>0</v>
      </c>
      <c r="R284" s="80">
        <f t="shared" si="184"/>
        <v>0</v>
      </c>
      <c r="S284" s="80">
        <f t="shared" si="184"/>
        <v>0</v>
      </c>
      <c r="T284" s="80">
        <f t="shared" si="181"/>
        <v>0</v>
      </c>
      <c r="U284" s="80">
        <f t="shared" si="182"/>
        <v>0</v>
      </c>
    </row>
    <row r="285" spans="1:21" ht="18.75" hidden="1" x14ac:dyDescent="0.25">
      <c r="A285" s="126"/>
      <c r="B285" s="187"/>
      <c r="C285" s="187"/>
      <c r="D285" s="187"/>
      <c r="E285" s="254" t="s">
        <v>21</v>
      </c>
      <c r="F285" s="187"/>
      <c r="G285" s="39"/>
      <c r="H285" s="131" t="s">
        <v>14</v>
      </c>
      <c r="I285" s="41"/>
      <c r="J285" s="41"/>
      <c r="K285" s="42"/>
      <c r="L285" s="481">
        <f t="shared" ca="1" si="183"/>
        <v>132320</v>
      </c>
      <c r="M285" s="230">
        <f t="shared" ca="1" si="183"/>
        <v>132320</v>
      </c>
      <c r="N285" s="230">
        <f t="shared" ca="1" si="183"/>
        <v>46391</v>
      </c>
      <c r="O285" s="230">
        <f t="shared" ca="1" si="178"/>
        <v>35.059703748488509</v>
      </c>
      <c r="P285" s="230">
        <f t="shared" ca="1" si="179"/>
        <v>35.059703748488509</v>
      </c>
      <c r="Q285" s="230">
        <f t="shared" si="184"/>
        <v>0</v>
      </c>
      <c r="R285" s="230">
        <f t="shared" si="184"/>
        <v>0</v>
      </c>
      <c r="S285" s="230">
        <f t="shared" si="184"/>
        <v>0</v>
      </c>
      <c r="T285" s="230">
        <f t="shared" si="181"/>
        <v>0</v>
      </c>
      <c r="U285" s="230">
        <f t="shared" si="182"/>
        <v>0</v>
      </c>
    </row>
    <row r="286" spans="1:21" ht="18.75" x14ac:dyDescent="0.25">
      <c r="A286" s="126"/>
      <c r="B286" s="187"/>
      <c r="C286" s="187"/>
      <c r="D286" s="38" t="s">
        <v>22</v>
      </c>
      <c r="E286" s="187"/>
      <c r="F286" s="187"/>
      <c r="G286" s="39"/>
      <c r="H286" s="132" t="s">
        <v>14</v>
      </c>
      <c r="I286" s="133"/>
      <c r="J286" s="133"/>
      <c r="K286" s="134"/>
      <c r="L286" s="481">
        <f t="shared" ref="L286:N286" ca="1" si="185">L287+L288</f>
        <v>132320</v>
      </c>
      <c r="M286" s="230">
        <f t="shared" ca="1" si="185"/>
        <v>132320</v>
      </c>
      <c r="N286" s="230">
        <f t="shared" ca="1" si="185"/>
        <v>46391</v>
      </c>
      <c r="O286" s="230">
        <f t="shared" ca="1" si="178"/>
        <v>35.059703748488509</v>
      </c>
      <c r="P286" s="230">
        <f t="shared" ca="1" si="179"/>
        <v>35.059703748488509</v>
      </c>
      <c r="Q286" s="230">
        <f t="shared" ref="Q286:S286" si="186">Q287+Q288</f>
        <v>0</v>
      </c>
      <c r="R286" s="230">
        <f t="shared" si="186"/>
        <v>0</v>
      </c>
      <c r="S286" s="230">
        <f t="shared" si="186"/>
        <v>0</v>
      </c>
      <c r="T286" s="230">
        <f t="shared" si="181"/>
        <v>0</v>
      </c>
      <c r="U286" s="230">
        <f t="shared" si="182"/>
        <v>0</v>
      </c>
    </row>
    <row r="287" spans="1:21" ht="18.75" hidden="1" x14ac:dyDescent="0.25">
      <c r="A287" s="126"/>
      <c r="B287" s="187"/>
      <c r="C287" s="187"/>
      <c r="D287" s="187"/>
      <c r="E287" s="154" t="s">
        <v>36</v>
      </c>
      <c r="F287" s="187"/>
      <c r="G287" s="39"/>
      <c r="H287" s="157" t="s">
        <v>14</v>
      </c>
      <c r="I287" s="133"/>
      <c r="J287" s="133"/>
      <c r="K287" s="134"/>
      <c r="L287" s="483">
        <v>0</v>
      </c>
      <c r="M287" s="80">
        <v>0</v>
      </c>
      <c r="N287" s="80">
        <v>0</v>
      </c>
      <c r="O287" s="80">
        <f t="shared" si="178"/>
        <v>0</v>
      </c>
      <c r="P287" s="80">
        <f t="shared" si="179"/>
        <v>0</v>
      </c>
      <c r="Q287" s="80">
        <v>0</v>
      </c>
      <c r="R287" s="80">
        <v>0</v>
      </c>
      <c r="S287" s="80">
        <v>0</v>
      </c>
      <c r="T287" s="80">
        <f t="shared" si="181"/>
        <v>0</v>
      </c>
      <c r="U287" s="80">
        <f t="shared" si="182"/>
        <v>0</v>
      </c>
    </row>
    <row r="288" spans="1:21" ht="18.75" hidden="1" x14ac:dyDescent="0.25">
      <c r="A288" s="126"/>
      <c r="B288" s="187"/>
      <c r="C288" s="187"/>
      <c r="D288" s="187"/>
      <c r="E288" s="254" t="s">
        <v>37</v>
      </c>
      <c r="F288" s="187"/>
      <c r="G288" s="39"/>
      <c r="H288" s="132" t="s">
        <v>14</v>
      </c>
      <c r="I288" s="133"/>
      <c r="J288" s="133"/>
      <c r="K288" s="134"/>
      <c r="L288" s="481">
        <f ca="1">IFERROR(__xludf.DUMMYFUNCTION("IMPORTRANGE(""https://docs.google.com/spreadsheets/d/1-uDff_7J0KD5mKrp0Vvzr7lt3OU09vwQwhkpOPPYv2Y/edit?usp=sharing"",""งบพรบ!DO21"")"),132320)</f>
        <v>132320</v>
      </c>
      <c r="M288" s="230">
        <f ca="1">IFERROR(__xludf.DUMMYFUNCTION("IMPORTRANGE(""https://docs.google.com/spreadsheets/d/1-uDff_7J0KD5mKrp0Vvzr7lt3OU09vwQwhkpOPPYv2Y/edit?usp=sharing"",""งบพรบ!DT21"")"),132320)</f>
        <v>132320</v>
      </c>
      <c r="N288" s="230">
        <f ca="1">IFERROR(__xludf.DUMMYFUNCTION("IMPORTRANGE(""https://docs.google.com/spreadsheets/d/1-uDff_7J0KD5mKrp0Vvzr7lt3OU09vwQwhkpOPPYv2Y/edit?usp=sharing"",""งบพรบ!DV21"")"),46391)</f>
        <v>46391</v>
      </c>
      <c r="O288" s="230">
        <f t="shared" ca="1" si="178"/>
        <v>35.059703748488509</v>
      </c>
      <c r="P288" s="230">
        <f t="shared" ca="1" si="179"/>
        <v>35.059703748488509</v>
      </c>
      <c r="Q288" s="230">
        <v>0</v>
      </c>
      <c r="R288" s="230">
        <v>0</v>
      </c>
      <c r="S288" s="230">
        <v>0</v>
      </c>
      <c r="T288" s="80">
        <f t="shared" si="181"/>
        <v>0</v>
      </c>
      <c r="U288" s="80">
        <f t="shared" si="182"/>
        <v>0</v>
      </c>
    </row>
    <row r="289" spans="1:21" ht="18.75" x14ac:dyDescent="0.25">
      <c r="A289" s="126"/>
      <c r="B289" s="187"/>
      <c r="C289" s="187"/>
      <c r="D289" s="38" t="s">
        <v>23</v>
      </c>
      <c r="E289" s="187"/>
      <c r="F289" s="187"/>
      <c r="G289" s="39"/>
      <c r="H289" s="135" t="s">
        <v>14</v>
      </c>
      <c r="I289" s="133"/>
      <c r="J289" s="133"/>
      <c r="K289" s="134"/>
      <c r="L289" s="481">
        <f t="shared" ref="L289:N289" ca="1" si="187">L290+L291</f>
        <v>0</v>
      </c>
      <c r="M289" s="230">
        <f t="shared" ca="1" si="187"/>
        <v>0</v>
      </c>
      <c r="N289" s="230">
        <f t="shared" ca="1" si="187"/>
        <v>0</v>
      </c>
      <c r="O289" s="230">
        <f t="shared" ca="1" si="178"/>
        <v>0</v>
      </c>
      <c r="P289" s="230">
        <f t="shared" ca="1" si="179"/>
        <v>0</v>
      </c>
      <c r="Q289" s="230">
        <f t="shared" ref="Q289:S289" si="188">Q290+Q291</f>
        <v>0</v>
      </c>
      <c r="R289" s="230">
        <f t="shared" si="188"/>
        <v>0</v>
      </c>
      <c r="S289" s="230">
        <f t="shared" si="188"/>
        <v>0</v>
      </c>
      <c r="T289" s="230">
        <f t="shared" si="181"/>
        <v>0</v>
      </c>
      <c r="U289" s="230">
        <f t="shared" si="182"/>
        <v>0</v>
      </c>
    </row>
    <row r="290" spans="1:21" ht="18.75" hidden="1" x14ac:dyDescent="0.25">
      <c r="A290" s="126"/>
      <c r="B290" s="187"/>
      <c r="C290" s="187"/>
      <c r="D290" s="187"/>
      <c r="E290" s="154" t="s">
        <v>20</v>
      </c>
      <c r="F290" s="187"/>
      <c r="G290" s="39"/>
      <c r="H290" s="157" t="s">
        <v>14</v>
      </c>
      <c r="I290" s="133"/>
      <c r="J290" s="133"/>
      <c r="K290" s="134"/>
      <c r="L290" s="483">
        <v>0</v>
      </c>
      <c r="M290" s="80">
        <v>0</v>
      </c>
      <c r="N290" s="80">
        <v>0</v>
      </c>
      <c r="O290" s="80">
        <f t="shared" si="178"/>
        <v>0</v>
      </c>
      <c r="P290" s="80">
        <f t="shared" si="179"/>
        <v>0</v>
      </c>
      <c r="Q290" s="80">
        <v>0</v>
      </c>
      <c r="R290" s="80">
        <v>0</v>
      </c>
      <c r="S290" s="80">
        <v>0</v>
      </c>
      <c r="T290" s="80">
        <f t="shared" si="181"/>
        <v>0</v>
      </c>
      <c r="U290" s="80">
        <f t="shared" si="182"/>
        <v>0</v>
      </c>
    </row>
    <row r="291" spans="1:21" ht="18.75" hidden="1" x14ac:dyDescent="0.25">
      <c r="A291" s="126"/>
      <c r="B291" s="187"/>
      <c r="C291" s="187"/>
      <c r="D291" s="187"/>
      <c r="E291" s="254" t="s">
        <v>21</v>
      </c>
      <c r="F291" s="187"/>
      <c r="G291" s="39"/>
      <c r="H291" s="135" t="s">
        <v>14</v>
      </c>
      <c r="I291" s="133"/>
      <c r="J291" s="133"/>
      <c r="K291" s="134"/>
      <c r="L291" s="481">
        <f ca="1">IFERROR(__xludf.DUMMYFUNCTION("IMPORTRANGE(""https://docs.google.com/spreadsheets/d/1-uDff_7J0KD5mKrp0Vvzr7lt3OU09vwQwhkpOPPYv2Y/edit?usp=sharing"",""งบพรบ!DR21"")"),0)</f>
        <v>0</v>
      </c>
      <c r="M291" s="230">
        <f ca="1">IFERROR(__xludf.DUMMYFUNCTION("IMPORTRANGE(""https://docs.google.com/spreadsheets/d/1-uDff_7J0KD5mKrp0Vvzr7lt3OU09vwQwhkpOPPYv2Y/edit?usp=sharing"",""งบพรบ!DU21"")"),0)</f>
        <v>0</v>
      </c>
      <c r="N291" s="230">
        <f ca="1">IFERROR(__xludf.DUMMYFUNCTION("IMPORTRANGE(""https://docs.google.com/spreadsheets/d/1-uDff_7J0KD5mKrp0Vvzr7lt3OU09vwQwhkpOPPYv2Y/edit?usp=sharing"",""งบพรบ!DW21"")"),0)</f>
        <v>0</v>
      </c>
      <c r="O291" s="230">
        <f t="shared" ca="1" si="178"/>
        <v>0</v>
      </c>
      <c r="P291" s="230">
        <f t="shared" ca="1" si="179"/>
        <v>0</v>
      </c>
      <c r="Q291" s="230">
        <v>0</v>
      </c>
      <c r="R291" s="230">
        <v>0</v>
      </c>
      <c r="S291" s="230">
        <v>0</v>
      </c>
      <c r="T291" s="230">
        <f t="shared" si="181"/>
        <v>0</v>
      </c>
      <c r="U291" s="230">
        <f t="shared" si="182"/>
        <v>0</v>
      </c>
    </row>
    <row r="292" spans="1:21" ht="19.5" x14ac:dyDescent="0.3">
      <c r="A292" s="136"/>
      <c r="B292" s="137"/>
      <c r="C292" s="186" t="s">
        <v>18</v>
      </c>
      <c r="D292" s="516" t="s">
        <v>38</v>
      </c>
      <c r="E292" s="139"/>
      <c r="F292" s="139"/>
      <c r="G292" s="140"/>
      <c r="H292" s="141"/>
      <c r="I292" s="133"/>
      <c r="J292" s="133"/>
      <c r="K292" s="134"/>
      <c r="L292" s="517"/>
      <c r="M292" s="134"/>
      <c r="N292" s="134"/>
      <c r="O292" s="134"/>
      <c r="P292" s="134"/>
      <c r="Q292" s="134"/>
      <c r="R292" s="134"/>
      <c r="S292" s="134"/>
      <c r="T292" s="134"/>
      <c r="U292" s="134"/>
    </row>
    <row r="293" spans="1:21" ht="18.75" x14ac:dyDescent="0.25">
      <c r="A293" s="136"/>
      <c r="B293" s="137"/>
      <c r="C293" s="137"/>
      <c r="D293" s="164" t="s">
        <v>120</v>
      </c>
      <c r="E293" s="137"/>
      <c r="F293" s="167"/>
      <c r="G293" s="141"/>
      <c r="H293" s="151" t="s">
        <v>46</v>
      </c>
      <c r="I293" s="189">
        <f ca="1">IFERROR(__xludf.DUMMYFUNCTION("IMPORTRANGE(""https://docs.google.com/spreadsheets/d/1eHaY18a8A9IcSdp1K8H6x8fbOy06t2VsZHhMHf-1x7Y/edit?usp=sharing"",""แผน!EE21"")"),100)</f>
        <v>100</v>
      </c>
      <c r="J293" s="520">
        <v>0</v>
      </c>
      <c r="K293" s="521">
        <f t="shared" ref="K293:K294" ca="1" si="189">IF(I293&gt;0,J293*100/I293,0)</f>
        <v>0</v>
      </c>
      <c r="L293" s="517"/>
      <c r="M293" s="134"/>
      <c r="N293" s="134"/>
      <c r="O293" s="134"/>
      <c r="P293" s="134"/>
      <c r="Q293" s="134"/>
      <c r="R293" s="134"/>
      <c r="S293" s="134"/>
      <c r="T293" s="134"/>
      <c r="U293" s="134"/>
    </row>
    <row r="294" spans="1:21" ht="19.5" x14ac:dyDescent="0.3">
      <c r="A294" s="136"/>
      <c r="B294" s="137"/>
      <c r="C294" s="137"/>
      <c r="D294" s="164" t="s">
        <v>121</v>
      </c>
      <c r="E294" s="137"/>
      <c r="F294" s="167"/>
      <c r="G294" s="141"/>
      <c r="H294" s="144" t="s">
        <v>35</v>
      </c>
      <c r="I294" s="340">
        <f ca="1">IFERROR(__xludf.DUMMYFUNCTION("IMPORTRANGE(""https://docs.google.com/spreadsheets/d/1eHaY18a8A9IcSdp1K8H6x8fbOy06t2VsZHhMHf-1x7Y/edit?usp=sharing"",""แผน!ED21"")"),10)</f>
        <v>10</v>
      </c>
      <c r="J294" s="340">
        <f>J297</f>
        <v>0</v>
      </c>
      <c r="K294" s="518">
        <f t="shared" ca="1" si="189"/>
        <v>0</v>
      </c>
      <c r="L294" s="517"/>
      <c r="M294" s="134"/>
      <c r="N294" s="134"/>
      <c r="O294" s="134"/>
      <c r="P294" s="134"/>
      <c r="Q294" s="134"/>
      <c r="R294" s="134"/>
      <c r="S294" s="134"/>
      <c r="T294" s="134"/>
      <c r="U294" s="134"/>
    </row>
    <row r="295" spans="1:21" ht="19.5" x14ac:dyDescent="0.3">
      <c r="A295" s="136"/>
      <c r="B295" s="137"/>
      <c r="C295" s="137"/>
      <c r="D295" s="167"/>
      <c r="E295" s="285" t="s">
        <v>122</v>
      </c>
      <c r="F295" s="167"/>
      <c r="G295" s="141"/>
      <c r="H295" s="141"/>
      <c r="I295" s="133"/>
      <c r="J295" s="41"/>
      <c r="K295" s="134"/>
      <c r="L295" s="517"/>
      <c r="M295" s="134"/>
      <c r="N295" s="134"/>
      <c r="O295" s="134"/>
      <c r="P295" s="134"/>
      <c r="Q295" s="134"/>
      <c r="R295" s="134"/>
      <c r="S295" s="134"/>
      <c r="T295" s="134"/>
      <c r="U295" s="134"/>
    </row>
    <row r="296" spans="1:21" ht="19.5" x14ac:dyDescent="0.3">
      <c r="A296" s="136"/>
      <c r="B296" s="137"/>
      <c r="C296" s="137"/>
      <c r="D296" s="167"/>
      <c r="E296" s="164" t="s">
        <v>123</v>
      </c>
      <c r="F296" s="167"/>
      <c r="G296" s="141"/>
      <c r="H296" s="232" t="s">
        <v>35</v>
      </c>
      <c r="I296" s="519">
        <f ca="1">IFERROR(__xludf.DUMMYFUNCTION("IMPORTRANGE(""https://docs.google.com/spreadsheets/d/1eHaY18a8A9IcSdp1K8H6x8fbOy06t2VsZHhMHf-1x7Y/edit?usp=sharing"",""แผน!ED21"")"),10)</f>
        <v>10</v>
      </c>
      <c r="J296" s="520">
        <v>0</v>
      </c>
      <c r="K296" s="521">
        <f t="shared" ref="K296:K297" ca="1" si="190">IF(I296&gt;0,J296*100/I296,0)</f>
        <v>0</v>
      </c>
      <c r="L296" s="517"/>
      <c r="M296" s="134"/>
      <c r="N296" s="134"/>
      <c r="O296" s="134"/>
      <c r="P296" s="134"/>
      <c r="Q296" s="134"/>
      <c r="R296" s="134"/>
      <c r="S296" s="134"/>
      <c r="T296" s="134"/>
      <c r="U296" s="134"/>
    </row>
    <row r="297" spans="1:21" ht="19.5" x14ac:dyDescent="0.3">
      <c r="A297" s="136"/>
      <c r="B297" s="137"/>
      <c r="C297" s="137"/>
      <c r="D297" s="167"/>
      <c r="E297" s="164" t="s">
        <v>124</v>
      </c>
      <c r="F297" s="167"/>
      <c r="G297" s="141"/>
      <c r="H297" s="232" t="s">
        <v>35</v>
      </c>
      <c r="I297" s="519">
        <f ca="1">IFERROR(__xludf.DUMMYFUNCTION("IMPORTRANGE(""https://docs.google.com/spreadsheets/d/1eHaY18a8A9IcSdp1K8H6x8fbOy06t2VsZHhMHf-1x7Y/edit?usp=sharing"",""แผน!ED21"")"),10)</f>
        <v>10</v>
      </c>
      <c r="J297" s="520">
        <v>0</v>
      </c>
      <c r="K297" s="521">
        <f t="shared" ca="1" si="190"/>
        <v>0</v>
      </c>
      <c r="L297" s="517"/>
      <c r="M297" s="134"/>
      <c r="N297" s="134"/>
      <c r="O297" s="134"/>
      <c r="P297" s="134"/>
      <c r="Q297" s="134"/>
      <c r="R297" s="134"/>
      <c r="S297" s="134"/>
      <c r="T297" s="134"/>
      <c r="U297" s="134"/>
    </row>
    <row r="298" spans="1:21" ht="12.75" hidden="1" x14ac:dyDescent="0.2">
      <c r="A298" s="160"/>
      <c r="B298" s="161"/>
      <c r="C298" s="161"/>
      <c r="D298" s="15"/>
      <c r="E298" s="15"/>
      <c r="F298" s="15"/>
      <c r="G298" s="16"/>
      <c r="H298" s="16"/>
      <c r="I298" s="17"/>
      <c r="J298" s="17"/>
      <c r="K298" s="18"/>
      <c r="L298" s="471"/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1:21" ht="12.75" hidden="1" x14ac:dyDescent="0.2">
      <c r="A299" s="160"/>
      <c r="B299" s="161"/>
      <c r="C299" s="161"/>
      <c r="D299" s="15"/>
      <c r="E299" s="15"/>
      <c r="F299" s="15"/>
      <c r="G299" s="16"/>
      <c r="H299" s="16"/>
      <c r="I299" s="17"/>
      <c r="J299" s="17"/>
      <c r="K299" s="18"/>
      <c r="L299" s="471"/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1:21" ht="12.75" hidden="1" x14ac:dyDescent="0.2">
      <c r="A300" s="286"/>
      <c r="B300" s="287"/>
      <c r="C300" s="287"/>
      <c r="D300" s="19"/>
      <c r="E300" s="19"/>
      <c r="F300" s="19"/>
      <c r="G300" s="11"/>
      <c r="H300" s="11"/>
      <c r="I300" s="12"/>
      <c r="J300" s="12"/>
      <c r="K300" s="13"/>
      <c r="L300" s="470"/>
      <c r="M300" s="13"/>
      <c r="N300" s="13"/>
      <c r="O300" s="13"/>
      <c r="P300" s="13"/>
      <c r="Q300" s="13"/>
      <c r="R300" s="13"/>
      <c r="S300" s="13"/>
      <c r="T300" s="13"/>
      <c r="U300" s="13"/>
    </row>
    <row r="301" spans="1:21" ht="19.5" x14ac:dyDescent="0.3">
      <c r="A301" s="288" t="s">
        <v>125</v>
      </c>
      <c r="B301" s="289"/>
      <c r="C301" s="289"/>
      <c r="D301" s="289"/>
      <c r="E301" s="290"/>
      <c r="F301" s="290"/>
      <c r="G301" s="290"/>
      <c r="H301" s="290"/>
      <c r="I301" s="291"/>
      <c r="J301" s="291"/>
      <c r="K301" s="292"/>
      <c r="L301" s="292"/>
      <c r="M301" s="292"/>
      <c r="N301" s="292"/>
      <c r="O301" s="292"/>
      <c r="P301" s="293"/>
      <c r="Q301" s="292"/>
      <c r="R301" s="292"/>
      <c r="S301" s="292"/>
      <c r="T301" s="292"/>
      <c r="U301" s="293"/>
    </row>
    <row r="302" spans="1:21" ht="19.5" x14ac:dyDescent="0.3">
      <c r="A302" s="294" t="s">
        <v>126</v>
      </c>
      <c r="B302" s="295"/>
      <c r="C302" s="295"/>
      <c r="D302" s="296"/>
      <c r="E302" s="296"/>
      <c r="F302" s="296"/>
      <c r="G302" s="297"/>
      <c r="H302" s="297"/>
      <c r="I302" s="298"/>
      <c r="J302" s="298"/>
      <c r="K302" s="299"/>
      <c r="L302" s="622"/>
      <c r="M302" s="299"/>
      <c r="N302" s="299"/>
      <c r="O302" s="299"/>
      <c r="P302" s="299"/>
      <c r="Q302" s="299"/>
      <c r="R302" s="299"/>
      <c r="S302" s="299"/>
      <c r="T302" s="299"/>
      <c r="U302" s="299"/>
    </row>
    <row r="303" spans="1:21" ht="19.5" x14ac:dyDescent="0.3">
      <c r="A303" s="300"/>
      <c r="B303" s="301" t="s">
        <v>127</v>
      </c>
      <c r="C303" s="302"/>
      <c r="D303" s="302"/>
      <c r="E303" s="302"/>
      <c r="F303" s="302"/>
      <c r="G303" s="303"/>
      <c r="H303" s="304" t="s">
        <v>35</v>
      </c>
      <c r="I303" s="623">
        <f t="shared" ref="I303:J303" ca="1" si="191">I315</f>
        <v>25</v>
      </c>
      <c r="J303" s="623">
        <f t="shared" si="191"/>
        <v>0</v>
      </c>
      <c r="K303" s="624">
        <f ca="1">IF(I303&gt;0,J303*100/I303,0)</f>
        <v>0</v>
      </c>
      <c r="L303" s="625"/>
      <c r="M303" s="307"/>
      <c r="N303" s="307"/>
      <c r="O303" s="307"/>
      <c r="P303" s="307"/>
      <c r="Q303" s="307"/>
      <c r="R303" s="307"/>
      <c r="S303" s="307"/>
      <c r="T303" s="307"/>
      <c r="U303" s="307"/>
    </row>
    <row r="304" spans="1:21" ht="19.5" x14ac:dyDescent="0.3">
      <c r="A304" s="126"/>
      <c r="B304" s="187"/>
      <c r="C304" s="186" t="s">
        <v>18</v>
      </c>
      <c r="D304" s="513" t="s">
        <v>19</v>
      </c>
      <c r="E304" s="187"/>
      <c r="F304" s="187"/>
      <c r="G304" s="39"/>
      <c r="H304" s="129" t="s">
        <v>14</v>
      </c>
      <c r="I304" s="41"/>
      <c r="J304" s="41"/>
      <c r="K304" s="42"/>
      <c r="L304" s="514">
        <f t="shared" ref="L304:N304" ca="1" si="192">L305+L306</f>
        <v>0</v>
      </c>
      <c r="M304" s="515">
        <f t="shared" ca="1" si="192"/>
        <v>0</v>
      </c>
      <c r="N304" s="515">
        <f t="shared" ca="1" si="192"/>
        <v>0</v>
      </c>
      <c r="O304" s="515">
        <f t="shared" ref="O304:O312" ca="1" si="193">IF(L304&gt;0,N304*100/L304,0)</f>
        <v>0</v>
      </c>
      <c r="P304" s="515">
        <f t="shared" ref="P304:P312" ca="1" si="194">IF(M304&gt;0,N304*100/M304,0)</f>
        <v>0</v>
      </c>
      <c r="Q304" s="515">
        <f t="shared" ref="Q304:S304" ca="1" si="195">Q305+Q306</f>
        <v>228095.39</v>
      </c>
      <c r="R304" s="515">
        <f t="shared" ca="1" si="195"/>
        <v>228095</v>
      </c>
      <c r="S304" s="515">
        <f t="shared" ca="1" si="195"/>
        <v>0</v>
      </c>
      <c r="T304" s="515">
        <f t="shared" ref="T304:T312" ca="1" si="196">IF(Q304&gt;0,S304*100/Q304,0)</f>
        <v>0</v>
      </c>
      <c r="U304" s="515">
        <f t="shared" ref="U304:U312" ca="1" si="197">IF(R304&gt;0,S304*100/R304,0)</f>
        <v>0</v>
      </c>
    </row>
    <row r="305" spans="1:21" ht="18.75" hidden="1" x14ac:dyDescent="0.25">
      <c r="A305" s="126"/>
      <c r="B305" s="187"/>
      <c r="C305" s="187"/>
      <c r="D305" s="187"/>
      <c r="E305" s="154" t="s">
        <v>20</v>
      </c>
      <c r="F305" s="187"/>
      <c r="G305" s="39"/>
      <c r="H305" s="155" t="s">
        <v>14</v>
      </c>
      <c r="I305" s="41"/>
      <c r="J305" s="41"/>
      <c r="K305" s="42"/>
      <c r="L305" s="483">
        <f t="shared" ref="L305:N306" si="198">L308+L311</f>
        <v>0</v>
      </c>
      <c r="M305" s="80">
        <f t="shared" si="198"/>
        <v>0</v>
      </c>
      <c r="N305" s="80">
        <f t="shared" si="198"/>
        <v>0</v>
      </c>
      <c r="O305" s="80">
        <f t="shared" si="193"/>
        <v>0</v>
      </c>
      <c r="P305" s="80">
        <f t="shared" si="194"/>
        <v>0</v>
      </c>
      <c r="Q305" s="80">
        <f t="shared" ref="Q305:S306" si="199">Q308+Q311</f>
        <v>0</v>
      </c>
      <c r="R305" s="80">
        <f t="shared" si="199"/>
        <v>0</v>
      </c>
      <c r="S305" s="80">
        <f t="shared" si="199"/>
        <v>0</v>
      </c>
      <c r="T305" s="80">
        <f t="shared" si="196"/>
        <v>0</v>
      </c>
      <c r="U305" s="80">
        <f t="shared" si="197"/>
        <v>0</v>
      </c>
    </row>
    <row r="306" spans="1:21" ht="18.75" hidden="1" x14ac:dyDescent="0.25">
      <c r="A306" s="126"/>
      <c r="B306" s="187"/>
      <c r="C306" s="187"/>
      <c r="D306" s="187"/>
      <c r="E306" s="254" t="s">
        <v>21</v>
      </c>
      <c r="F306" s="187"/>
      <c r="G306" s="39"/>
      <c r="H306" s="131" t="s">
        <v>14</v>
      </c>
      <c r="I306" s="41"/>
      <c r="J306" s="41"/>
      <c r="K306" s="42"/>
      <c r="L306" s="481">
        <f t="shared" ca="1" si="198"/>
        <v>0</v>
      </c>
      <c r="M306" s="230">
        <f t="shared" ca="1" si="198"/>
        <v>0</v>
      </c>
      <c r="N306" s="230">
        <f t="shared" ca="1" si="198"/>
        <v>0</v>
      </c>
      <c r="O306" s="230">
        <f t="shared" ca="1" si="193"/>
        <v>0</v>
      </c>
      <c r="P306" s="230">
        <f t="shared" ca="1" si="194"/>
        <v>0</v>
      </c>
      <c r="Q306" s="230">
        <f t="shared" ca="1" si="199"/>
        <v>228095.39</v>
      </c>
      <c r="R306" s="230">
        <f t="shared" ca="1" si="199"/>
        <v>228095</v>
      </c>
      <c r="S306" s="230">
        <f t="shared" ca="1" si="199"/>
        <v>0</v>
      </c>
      <c r="T306" s="230">
        <f t="shared" ca="1" si="196"/>
        <v>0</v>
      </c>
      <c r="U306" s="230">
        <f t="shared" ca="1" si="197"/>
        <v>0</v>
      </c>
    </row>
    <row r="307" spans="1:21" ht="18.75" x14ac:dyDescent="0.25">
      <c r="A307" s="126"/>
      <c r="B307" s="187"/>
      <c r="C307" s="187"/>
      <c r="D307" s="38" t="s">
        <v>22</v>
      </c>
      <c r="E307" s="187"/>
      <c r="F307" s="187"/>
      <c r="G307" s="39"/>
      <c r="H307" s="132" t="s">
        <v>14</v>
      </c>
      <c r="I307" s="133"/>
      <c r="J307" s="133"/>
      <c r="K307" s="134"/>
      <c r="L307" s="481">
        <f t="shared" ref="L307:N307" ca="1" si="200">L308+L309</f>
        <v>0</v>
      </c>
      <c r="M307" s="230">
        <f t="shared" ca="1" si="200"/>
        <v>0</v>
      </c>
      <c r="N307" s="230">
        <f t="shared" ca="1" si="200"/>
        <v>0</v>
      </c>
      <c r="O307" s="230">
        <f t="shared" ca="1" si="193"/>
        <v>0</v>
      </c>
      <c r="P307" s="230">
        <f t="shared" ca="1" si="194"/>
        <v>0</v>
      </c>
      <c r="Q307" s="230">
        <f t="shared" ref="Q307:S307" ca="1" si="201">Q308+Q309</f>
        <v>228095.39</v>
      </c>
      <c r="R307" s="230">
        <f t="shared" ca="1" si="201"/>
        <v>228095</v>
      </c>
      <c r="S307" s="230">
        <f t="shared" ca="1" si="201"/>
        <v>0</v>
      </c>
      <c r="T307" s="230">
        <f t="shared" ca="1" si="196"/>
        <v>0</v>
      </c>
      <c r="U307" s="230">
        <f t="shared" ca="1" si="197"/>
        <v>0</v>
      </c>
    </row>
    <row r="308" spans="1:21" ht="18.75" hidden="1" x14ac:dyDescent="0.25">
      <c r="A308" s="126"/>
      <c r="B308" s="187"/>
      <c r="C308" s="187"/>
      <c r="D308" s="187"/>
      <c r="E308" s="154" t="s">
        <v>36</v>
      </c>
      <c r="F308" s="187"/>
      <c r="G308" s="39"/>
      <c r="H308" s="157" t="s">
        <v>14</v>
      </c>
      <c r="I308" s="133"/>
      <c r="J308" s="133"/>
      <c r="K308" s="134"/>
      <c r="L308" s="483">
        <v>0</v>
      </c>
      <c r="M308" s="80">
        <v>0</v>
      </c>
      <c r="N308" s="80">
        <v>0</v>
      </c>
      <c r="O308" s="80">
        <f t="shared" si="193"/>
        <v>0</v>
      </c>
      <c r="P308" s="80">
        <f t="shared" si="194"/>
        <v>0</v>
      </c>
      <c r="Q308" s="80">
        <v>0</v>
      </c>
      <c r="R308" s="80">
        <v>0</v>
      </c>
      <c r="S308" s="80">
        <v>0</v>
      </c>
      <c r="T308" s="80">
        <f t="shared" si="196"/>
        <v>0</v>
      </c>
      <c r="U308" s="80">
        <f t="shared" si="197"/>
        <v>0</v>
      </c>
    </row>
    <row r="309" spans="1:21" ht="18.75" hidden="1" x14ac:dyDescent="0.25">
      <c r="A309" s="126"/>
      <c r="B309" s="187"/>
      <c r="C309" s="187"/>
      <c r="D309" s="187"/>
      <c r="E309" s="254" t="s">
        <v>37</v>
      </c>
      <c r="F309" s="187"/>
      <c r="G309" s="39"/>
      <c r="H309" s="132" t="s">
        <v>14</v>
      </c>
      <c r="I309" s="133"/>
      <c r="J309" s="133"/>
      <c r="K309" s="134"/>
      <c r="L309" s="481">
        <f ca="1">IFERROR(__xludf.DUMMYFUNCTION("IMPORTRANGE(""https://docs.google.com/spreadsheets/d/1-uDff_7J0KD5mKrp0Vvzr7lt3OU09vwQwhkpOPPYv2Y/edit?usp=sharing"",""งบพรบ!DY21"")"),0)</f>
        <v>0</v>
      </c>
      <c r="M309" s="230">
        <f ca="1">IFERROR(__xludf.DUMMYFUNCTION("IMPORTRANGE(""https://docs.google.com/spreadsheets/d/1-uDff_7J0KD5mKrp0Vvzr7lt3OU09vwQwhkpOPPYv2Y/edit?usp=sharing"",""งบพรบ!ED21"")"),0)</f>
        <v>0</v>
      </c>
      <c r="N309" s="230">
        <f ca="1">IFERROR(__xludf.DUMMYFUNCTION("IMPORTRANGE(""https://docs.google.com/spreadsheets/d/1-uDff_7J0KD5mKrp0Vvzr7lt3OU09vwQwhkpOPPYv2Y/edit?usp=sharing"",""งบพรบ!EF21"")"),0)</f>
        <v>0</v>
      </c>
      <c r="O309" s="230">
        <f t="shared" ca="1" si="193"/>
        <v>0</v>
      </c>
      <c r="P309" s="230">
        <f t="shared" ca="1" si="194"/>
        <v>0</v>
      </c>
      <c r="Q309" s="230">
        <f ca="1">IFERROR(__xludf.DUMMYFUNCTION("IMPORTRANGE(""https://docs.google.com/spreadsheets/d/1ItG2mGa2ceCfYo0BwxsXqNm01IGEUdYcSSLTEv9YCik/edit?usp=sharing"",""เบิกจ่ายกองทุน!AP21"")"),228095.39)</f>
        <v>228095.39</v>
      </c>
      <c r="R309" s="230">
        <f ca="1">IFERROR(__xludf.DUMMYFUNCTION("IMPORTRANGE(""https://docs.google.com/spreadsheets/d/1ItG2mGa2ceCfYo0BwxsXqNm01IGEUdYcSSLTEv9YCik/edit?usp=sharing"",""เบิกจ่ายกองทุน!AQ21"")"),228095)</f>
        <v>228095</v>
      </c>
      <c r="S309" s="230">
        <f ca="1">IFERROR(__xludf.DUMMYFUNCTION("IMPORTRANGE(""https://docs.google.com/spreadsheets/d/1ItG2mGa2ceCfYo0BwxsXqNm01IGEUdYcSSLTEv9YCik/edit?usp=sharing"",""เบิกจ่ายกองทุน!AR21"")"),0)</f>
        <v>0</v>
      </c>
      <c r="T309" s="230">
        <f t="shared" ca="1" si="196"/>
        <v>0</v>
      </c>
      <c r="U309" s="230">
        <f t="shared" ca="1" si="197"/>
        <v>0</v>
      </c>
    </row>
    <row r="310" spans="1:21" ht="18.75" x14ac:dyDescent="0.25">
      <c r="A310" s="126"/>
      <c r="B310" s="187"/>
      <c r="C310" s="187"/>
      <c r="D310" s="38" t="s">
        <v>23</v>
      </c>
      <c r="E310" s="187"/>
      <c r="F310" s="187"/>
      <c r="G310" s="39"/>
      <c r="H310" s="135" t="s">
        <v>14</v>
      </c>
      <c r="I310" s="133"/>
      <c r="J310" s="133"/>
      <c r="K310" s="134"/>
      <c r="L310" s="481">
        <f t="shared" ref="L310:N310" ca="1" si="202">L311+L312</f>
        <v>0</v>
      </c>
      <c r="M310" s="230">
        <f t="shared" ca="1" si="202"/>
        <v>0</v>
      </c>
      <c r="N310" s="230">
        <f t="shared" ca="1" si="202"/>
        <v>0</v>
      </c>
      <c r="O310" s="230">
        <f t="shared" ca="1" si="193"/>
        <v>0</v>
      </c>
      <c r="P310" s="230">
        <f t="shared" ca="1" si="194"/>
        <v>0</v>
      </c>
      <c r="Q310" s="230">
        <f t="shared" ref="Q310:S310" si="203">Q311+Q312</f>
        <v>0</v>
      </c>
      <c r="R310" s="230">
        <f t="shared" si="203"/>
        <v>0</v>
      </c>
      <c r="S310" s="230">
        <f t="shared" si="203"/>
        <v>0</v>
      </c>
      <c r="T310" s="230">
        <f t="shared" si="196"/>
        <v>0</v>
      </c>
      <c r="U310" s="230">
        <f t="shared" si="197"/>
        <v>0</v>
      </c>
    </row>
    <row r="311" spans="1:21" ht="18.75" hidden="1" x14ac:dyDescent="0.25">
      <c r="A311" s="126"/>
      <c r="B311" s="187"/>
      <c r="C311" s="187"/>
      <c r="D311" s="187"/>
      <c r="E311" s="154" t="s">
        <v>20</v>
      </c>
      <c r="F311" s="187"/>
      <c r="G311" s="39"/>
      <c r="H311" s="157" t="s">
        <v>14</v>
      </c>
      <c r="I311" s="133"/>
      <c r="J311" s="133"/>
      <c r="K311" s="134"/>
      <c r="L311" s="483">
        <v>0</v>
      </c>
      <c r="M311" s="80">
        <v>0</v>
      </c>
      <c r="N311" s="80">
        <v>0</v>
      </c>
      <c r="O311" s="80">
        <f t="shared" si="193"/>
        <v>0</v>
      </c>
      <c r="P311" s="80">
        <f t="shared" si="194"/>
        <v>0</v>
      </c>
      <c r="Q311" s="80">
        <v>0</v>
      </c>
      <c r="R311" s="80">
        <v>0</v>
      </c>
      <c r="S311" s="80">
        <v>0</v>
      </c>
      <c r="T311" s="80">
        <f t="shared" si="196"/>
        <v>0</v>
      </c>
      <c r="U311" s="80">
        <f t="shared" si="197"/>
        <v>0</v>
      </c>
    </row>
    <row r="312" spans="1:21" ht="18.75" hidden="1" x14ac:dyDescent="0.25">
      <c r="A312" s="126"/>
      <c r="B312" s="187"/>
      <c r="C312" s="187"/>
      <c r="D312" s="187"/>
      <c r="E312" s="254" t="s">
        <v>21</v>
      </c>
      <c r="F312" s="187"/>
      <c r="G312" s="39"/>
      <c r="H312" s="135" t="s">
        <v>14</v>
      </c>
      <c r="I312" s="133"/>
      <c r="J312" s="133"/>
      <c r="K312" s="134"/>
      <c r="L312" s="481">
        <f ca="1">IFERROR(__xludf.DUMMYFUNCTION("IMPORTRANGE(""https://docs.google.com/spreadsheets/d/1-uDff_7J0KD5mKrp0Vvzr7lt3OU09vwQwhkpOPPYv2Y/edit?usp=sharing"",""งบพรบ!EB21"")"),0)</f>
        <v>0</v>
      </c>
      <c r="M312" s="230">
        <f ca="1">IFERROR(__xludf.DUMMYFUNCTION("IMPORTRANGE(""https://docs.google.com/spreadsheets/d/1-uDff_7J0KD5mKrp0Vvzr7lt3OU09vwQwhkpOPPYv2Y/edit?usp=sharing"",""งบพรบ!EE21"")"),0)</f>
        <v>0</v>
      </c>
      <c r="N312" s="230">
        <f ca="1">IFERROR(__xludf.DUMMYFUNCTION("IMPORTRANGE(""https://docs.google.com/spreadsheets/d/1-uDff_7J0KD5mKrp0Vvzr7lt3OU09vwQwhkpOPPYv2Y/edit?usp=sharing"",""งบพรบ!EG21"")"),0)</f>
        <v>0</v>
      </c>
      <c r="O312" s="230">
        <f t="shared" ca="1" si="193"/>
        <v>0</v>
      </c>
      <c r="P312" s="230">
        <f t="shared" ca="1" si="194"/>
        <v>0</v>
      </c>
      <c r="Q312" s="230">
        <v>0</v>
      </c>
      <c r="R312" s="230">
        <v>0</v>
      </c>
      <c r="S312" s="230">
        <v>0</v>
      </c>
      <c r="T312" s="230">
        <f t="shared" si="196"/>
        <v>0</v>
      </c>
      <c r="U312" s="230">
        <f t="shared" si="197"/>
        <v>0</v>
      </c>
    </row>
    <row r="313" spans="1:21" ht="19.5" x14ac:dyDescent="0.3">
      <c r="A313" s="136"/>
      <c r="B313" s="137"/>
      <c r="C313" s="186" t="s">
        <v>18</v>
      </c>
      <c r="D313" s="516" t="s">
        <v>38</v>
      </c>
      <c r="E313" s="139"/>
      <c r="F313" s="139"/>
      <c r="G313" s="140"/>
      <c r="H313" s="141"/>
      <c r="I313" s="41"/>
      <c r="J313" s="41"/>
      <c r="K313" s="42"/>
      <c r="L313" s="484"/>
      <c r="M313" s="42"/>
      <c r="N313" s="42"/>
      <c r="O313" s="42"/>
      <c r="P313" s="42"/>
      <c r="Q313" s="42"/>
      <c r="R313" s="42"/>
      <c r="S313" s="42"/>
      <c r="T313" s="42"/>
      <c r="U313" s="42"/>
    </row>
    <row r="314" spans="1:21" ht="18.75" hidden="1" x14ac:dyDescent="0.25">
      <c r="A314" s="160"/>
      <c r="B314" s="161"/>
      <c r="C314" s="161"/>
      <c r="D314" s="626"/>
      <c r="E314" s="15"/>
      <c r="F314" s="15"/>
      <c r="G314" s="16"/>
      <c r="H314" s="16"/>
      <c r="I314" s="17"/>
      <c r="J314" s="627"/>
      <c r="K314" s="18"/>
      <c r="L314" s="471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21" ht="18.75" x14ac:dyDescent="0.25">
      <c r="A315" s="136"/>
      <c r="B315" s="137"/>
      <c r="C315" s="137"/>
      <c r="D315" s="164" t="s">
        <v>121</v>
      </c>
      <c r="E315" s="167"/>
      <c r="F315" s="167"/>
      <c r="G315" s="141"/>
      <c r="H315" s="232" t="s">
        <v>35</v>
      </c>
      <c r="I315" s="189">
        <f ca="1">IFERROR(__xludf.DUMMYFUNCTION("IMPORTRANGE(""https://docs.google.com/spreadsheets/d/1eHaY18a8A9IcSdp1K8H6x8fbOy06t2VsZHhMHf-1x7Y/edit?usp=sharing"",""แผน!EF21"")"),25)</f>
        <v>25</v>
      </c>
      <c r="J315" s="520">
        <v>0</v>
      </c>
      <c r="K315" s="230">
        <f ca="1">IF(I315&gt;0,J315*100/I315,0)</f>
        <v>0</v>
      </c>
      <c r="L315" s="484"/>
      <c r="M315" s="42"/>
      <c r="N315" s="42"/>
      <c r="O315" s="42"/>
      <c r="P315" s="42"/>
      <c r="Q315" s="42"/>
      <c r="R315" s="42"/>
      <c r="S315" s="42"/>
      <c r="T315" s="42"/>
      <c r="U315" s="42"/>
    </row>
    <row r="316" spans="1:21" ht="18.75" hidden="1" x14ac:dyDescent="0.25">
      <c r="A316" s="160"/>
      <c r="B316" s="161"/>
      <c r="C316" s="161"/>
      <c r="D316" s="626"/>
      <c r="E316" s="15"/>
      <c r="F316" s="15"/>
      <c r="G316" s="16"/>
      <c r="H316" s="628"/>
      <c r="I316" s="627"/>
      <c r="J316" s="627"/>
      <c r="K316" s="629"/>
      <c r="L316" s="471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21" ht="18.75" hidden="1" x14ac:dyDescent="0.25">
      <c r="A317" s="160"/>
      <c r="B317" s="161"/>
      <c r="C317" s="161"/>
      <c r="D317" s="626"/>
      <c r="E317" s="15"/>
      <c r="F317" s="15"/>
      <c r="G317" s="16"/>
      <c r="H317" s="628"/>
      <c r="I317" s="627"/>
      <c r="J317" s="627"/>
      <c r="K317" s="629"/>
      <c r="L317" s="471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21" ht="18.75" hidden="1" x14ac:dyDescent="0.25">
      <c r="A318" s="160"/>
      <c r="B318" s="161"/>
      <c r="C318" s="161"/>
      <c r="D318" s="630"/>
      <c r="E318" s="15"/>
      <c r="F318" s="15"/>
      <c r="G318" s="16"/>
      <c r="H318" s="631"/>
      <c r="I318" s="632"/>
      <c r="J318" s="632"/>
      <c r="K318" s="633"/>
      <c r="L318" s="471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21" ht="19.5" hidden="1" x14ac:dyDescent="0.3">
      <c r="A319" s="294" t="s">
        <v>131</v>
      </c>
      <c r="B319" s="295"/>
      <c r="C319" s="295"/>
      <c r="D319" s="296"/>
      <c r="E319" s="295"/>
      <c r="F319" s="295"/>
      <c r="G319" s="295"/>
      <c r="H319" s="296"/>
      <c r="I319" s="298"/>
      <c r="J319" s="298"/>
      <c r="K319" s="299"/>
      <c r="L319" s="622"/>
      <c r="M319" s="299"/>
      <c r="N319" s="299"/>
      <c r="O319" s="299"/>
      <c r="P319" s="299"/>
      <c r="Q319" s="299"/>
      <c r="R319" s="299"/>
      <c r="S319" s="299"/>
      <c r="T319" s="299"/>
      <c r="U319" s="299"/>
    </row>
    <row r="320" spans="1:21" ht="19.5" hidden="1" x14ac:dyDescent="0.3">
      <c r="A320" s="308"/>
      <c r="B320" s="301" t="s">
        <v>132</v>
      </c>
      <c r="C320" s="309"/>
      <c r="D320" s="310"/>
      <c r="E320" s="302"/>
      <c r="F320" s="302"/>
      <c r="G320" s="303"/>
      <c r="H320" s="304" t="s">
        <v>133</v>
      </c>
      <c r="I320" s="623">
        <f t="shared" ref="I320:J320" ca="1" si="204">I331</f>
        <v>0</v>
      </c>
      <c r="J320" s="623">
        <f t="shared" si="204"/>
        <v>0</v>
      </c>
      <c r="K320" s="624">
        <f ca="1">IF(I320&gt;0,J320*100/I320,0)</f>
        <v>0</v>
      </c>
      <c r="L320" s="625"/>
      <c r="M320" s="307"/>
      <c r="N320" s="307"/>
      <c r="O320" s="307"/>
      <c r="P320" s="307"/>
      <c r="Q320" s="307"/>
      <c r="R320" s="307"/>
      <c r="S320" s="307"/>
      <c r="T320" s="307"/>
      <c r="U320" s="307"/>
    </row>
    <row r="321" spans="1:21" ht="19.5" hidden="1" x14ac:dyDescent="0.3">
      <c r="A321" s="126"/>
      <c r="B321" s="187"/>
      <c r="C321" s="186" t="s">
        <v>18</v>
      </c>
      <c r="D321" s="513" t="s">
        <v>19</v>
      </c>
      <c r="E321" s="187"/>
      <c r="F321" s="187"/>
      <c r="G321" s="39"/>
      <c r="H321" s="129" t="s">
        <v>14</v>
      </c>
      <c r="I321" s="41"/>
      <c r="J321" s="41"/>
      <c r="K321" s="42"/>
      <c r="L321" s="514">
        <f t="shared" ref="L321:N321" ca="1" si="205">L322+L323</f>
        <v>0</v>
      </c>
      <c r="M321" s="515">
        <f t="shared" ca="1" si="205"/>
        <v>0</v>
      </c>
      <c r="N321" s="515">
        <f t="shared" ca="1" si="205"/>
        <v>0</v>
      </c>
      <c r="O321" s="515">
        <f t="shared" ref="O321:O329" ca="1" si="206">IF(L321&gt;0,N321*100/L321,0)</f>
        <v>0</v>
      </c>
      <c r="P321" s="515">
        <f t="shared" ref="P321:P329" ca="1" si="207">IF(M321&gt;0,N321*100/M321,0)</f>
        <v>0</v>
      </c>
      <c r="Q321" s="515">
        <f t="shared" ref="Q321:S321" si="208">Q322+Q323</f>
        <v>0</v>
      </c>
      <c r="R321" s="515">
        <f t="shared" si="208"/>
        <v>0</v>
      </c>
      <c r="S321" s="515">
        <f t="shared" si="208"/>
        <v>0</v>
      </c>
      <c r="T321" s="515">
        <f t="shared" ref="T321:T329" si="209">IF(Q321&gt;0,S321*100/Q321,0)</f>
        <v>0</v>
      </c>
      <c r="U321" s="515">
        <f t="shared" ref="U321:U329" si="210">IF(R321&gt;0,S321*100/R321,0)</f>
        <v>0</v>
      </c>
    </row>
    <row r="322" spans="1:21" ht="18.75" hidden="1" x14ac:dyDescent="0.25">
      <c r="A322" s="126"/>
      <c r="B322" s="187"/>
      <c r="C322" s="187"/>
      <c r="D322" s="187"/>
      <c r="E322" s="154" t="s">
        <v>20</v>
      </c>
      <c r="F322" s="187"/>
      <c r="G322" s="39"/>
      <c r="H322" s="155" t="s">
        <v>14</v>
      </c>
      <c r="I322" s="41"/>
      <c r="J322" s="41"/>
      <c r="K322" s="42"/>
      <c r="L322" s="483">
        <f t="shared" ref="L322:N323" si="211">L325+L328</f>
        <v>0</v>
      </c>
      <c r="M322" s="80">
        <f t="shared" si="211"/>
        <v>0</v>
      </c>
      <c r="N322" s="80">
        <f t="shared" si="211"/>
        <v>0</v>
      </c>
      <c r="O322" s="80">
        <f t="shared" si="206"/>
        <v>0</v>
      </c>
      <c r="P322" s="80">
        <f t="shared" si="207"/>
        <v>0</v>
      </c>
      <c r="Q322" s="80">
        <f t="shared" ref="Q322:S323" si="212">Q325+Q328</f>
        <v>0</v>
      </c>
      <c r="R322" s="80">
        <f t="shared" si="212"/>
        <v>0</v>
      </c>
      <c r="S322" s="80">
        <f t="shared" si="212"/>
        <v>0</v>
      </c>
      <c r="T322" s="80">
        <f t="shared" si="209"/>
        <v>0</v>
      </c>
      <c r="U322" s="80">
        <f t="shared" si="210"/>
        <v>0</v>
      </c>
    </row>
    <row r="323" spans="1:21" ht="18.75" hidden="1" x14ac:dyDescent="0.25">
      <c r="A323" s="126"/>
      <c r="B323" s="187"/>
      <c r="C323" s="187"/>
      <c r="D323" s="187"/>
      <c r="E323" s="254" t="s">
        <v>21</v>
      </c>
      <c r="F323" s="187"/>
      <c r="G323" s="39"/>
      <c r="H323" s="131" t="s">
        <v>14</v>
      </c>
      <c r="I323" s="41"/>
      <c r="J323" s="41"/>
      <c r="K323" s="42"/>
      <c r="L323" s="481">
        <f t="shared" ca="1" si="211"/>
        <v>0</v>
      </c>
      <c r="M323" s="230">
        <f t="shared" ca="1" si="211"/>
        <v>0</v>
      </c>
      <c r="N323" s="230">
        <f t="shared" ca="1" si="211"/>
        <v>0</v>
      </c>
      <c r="O323" s="230">
        <f t="shared" ca="1" si="206"/>
        <v>0</v>
      </c>
      <c r="P323" s="230">
        <f t="shared" ca="1" si="207"/>
        <v>0</v>
      </c>
      <c r="Q323" s="230">
        <f t="shared" si="212"/>
        <v>0</v>
      </c>
      <c r="R323" s="230">
        <f t="shared" si="212"/>
        <v>0</v>
      </c>
      <c r="S323" s="230">
        <f t="shared" si="212"/>
        <v>0</v>
      </c>
      <c r="T323" s="230">
        <f t="shared" si="209"/>
        <v>0</v>
      </c>
      <c r="U323" s="230">
        <f t="shared" si="210"/>
        <v>0</v>
      </c>
    </row>
    <row r="324" spans="1:21" ht="18.75" hidden="1" x14ac:dyDescent="0.25">
      <c r="A324" s="126"/>
      <c r="B324" s="187"/>
      <c r="C324" s="187"/>
      <c r="D324" s="38" t="s">
        <v>22</v>
      </c>
      <c r="E324" s="187"/>
      <c r="F324" s="187"/>
      <c r="G324" s="39"/>
      <c r="H324" s="132" t="s">
        <v>14</v>
      </c>
      <c r="I324" s="133"/>
      <c r="J324" s="133"/>
      <c r="K324" s="134"/>
      <c r="L324" s="481">
        <f t="shared" ref="L324:N324" ca="1" si="213">L325+L326</f>
        <v>0</v>
      </c>
      <c r="M324" s="230">
        <f t="shared" ca="1" si="213"/>
        <v>0</v>
      </c>
      <c r="N324" s="230">
        <f t="shared" ca="1" si="213"/>
        <v>0</v>
      </c>
      <c r="O324" s="230">
        <f t="shared" ca="1" si="206"/>
        <v>0</v>
      </c>
      <c r="P324" s="230">
        <f t="shared" ca="1" si="207"/>
        <v>0</v>
      </c>
      <c r="Q324" s="230">
        <f t="shared" ref="Q324:S324" si="214">Q325+Q326</f>
        <v>0</v>
      </c>
      <c r="R324" s="230">
        <f t="shared" si="214"/>
        <v>0</v>
      </c>
      <c r="S324" s="230">
        <f t="shared" si="214"/>
        <v>0</v>
      </c>
      <c r="T324" s="230">
        <f t="shared" si="209"/>
        <v>0</v>
      </c>
      <c r="U324" s="230">
        <f t="shared" si="210"/>
        <v>0</v>
      </c>
    </row>
    <row r="325" spans="1:21" ht="18.75" hidden="1" x14ac:dyDescent="0.25">
      <c r="A325" s="126"/>
      <c r="B325" s="187"/>
      <c r="C325" s="187"/>
      <c r="D325" s="187"/>
      <c r="E325" s="154" t="s">
        <v>36</v>
      </c>
      <c r="F325" s="187"/>
      <c r="G325" s="39"/>
      <c r="H325" s="157" t="s">
        <v>14</v>
      </c>
      <c r="I325" s="133"/>
      <c r="J325" s="133"/>
      <c r="K325" s="134"/>
      <c r="L325" s="483">
        <v>0</v>
      </c>
      <c r="M325" s="80">
        <v>0</v>
      </c>
      <c r="N325" s="80">
        <v>0</v>
      </c>
      <c r="O325" s="80">
        <f t="shared" si="206"/>
        <v>0</v>
      </c>
      <c r="P325" s="80">
        <f t="shared" si="207"/>
        <v>0</v>
      </c>
      <c r="Q325" s="80">
        <v>0</v>
      </c>
      <c r="R325" s="80">
        <v>0</v>
      </c>
      <c r="S325" s="80">
        <v>0</v>
      </c>
      <c r="T325" s="80">
        <f t="shared" si="209"/>
        <v>0</v>
      </c>
      <c r="U325" s="80">
        <f t="shared" si="210"/>
        <v>0</v>
      </c>
    </row>
    <row r="326" spans="1:21" ht="18.75" hidden="1" x14ac:dyDescent="0.25">
      <c r="A326" s="126"/>
      <c r="B326" s="187"/>
      <c r="C326" s="187"/>
      <c r="D326" s="187"/>
      <c r="E326" s="254" t="s">
        <v>37</v>
      </c>
      <c r="F326" s="187"/>
      <c r="G326" s="39"/>
      <c r="H326" s="132" t="s">
        <v>14</v>
      </c>
      <c r="I326" s="133"/>
      <c r="J326" s="133"/>
      <c r="K326" s="134"/>
      <c r="L326" s="481">
        <f ca="1">IFERROR(__xludf.DUMMYFUNCTION("IMPORTRANGE(""https://docs.google.com/spreadsheets/d/1-uDff_7J0KD5mKrp0Vvzr7lt3OU09vwQwhkpOPPYv2Y/edit?usp=sharing"",""งบพรบ!EI21"")"),0)</f>
        <v>0</v>
      </c>
      <c r="M326" s="230">
        <f ca="1">IFERROR(__xludf.DUMMYFUNCTION("IMPORTRANGE(""https://docs.google.com/spreadsheets/d/1-uDff_7J0KD5mKrp0Vvzr7lt3OU09vwQwhkpOPPYv2Y/edit?usp=sharing"",""งบพรบ!EN21"")"),0)</f>
        <v>0</v>
      </c>
      <c r="N326" s="230">
        <f ca="1">IFERROR(__xludf.DUMMYFUNCTION("IMPORTRANGE(""https://docs.google.com/spreadsheets/d/1-uDff_7J0KD5mKrp0Vvzr7lt3OU09vwQwhkpOPPYv2Y/edit?usp=sharing"",""งบพรบ!EP21"")"),0)</f>
        <v>0</v>
      </c>
      <c r="O326" s="230">
        <f t="shared" ca="1" si="206"/>
        <v>0</v>
      </c>
      <c r="P326" s="230">
        <f t="shared" ca="1" si="207"/>
        <v>0</v>
      </c>
      <c r="Q326" s="230">
        <v>0</v>
      </c>
      <c r="R326" s="230">
        <v>0</v>
      </c>
      <c r="S326" s="230">
        <v>0</v>
      </c>
      <c r="T326" s="230">
        <f t="shared" si="209"/>
        <v>0</v>
      </c>
      <c r="U326" s="230">
        <f t="shared" si="210"/>
        <v>0</v>
      </c>
    </row>
    <row r="327" spans="1:21" ht="18.75" hidden="1" x14ac:dyDescent="0.25">
      <c r="A327" s="126"/>
      <c r="B327" s="187"/>
      <c r="C327" s="187"/>
      <c r="D327" s="38" t="s">
        <v>23</v>
      </c>
      <c r="E327" s="187"/>
      <c r="F327" s="187"/>
      <c r="G327" s="39"/>
      <c r="H327" s="135" t="s">
        <v>14</v>
      </c>
      <c r="I327" s="133"/>
      <c r="J327" s="133"/>
      <c r="K327" s="134"/>
      <c r="L327" s="481">
        <f t="shared" ref="L327:N327" ca="1" si="215">L328+L329</f>
        <v>0</v>
      </c>
      <c r="M327" s="230">
        <f t="shared" ca="1" si="215"/>
        <v>0</v>
      </c>
      <c r="N327" s="230">
        <f t="shared" ca="1" si="215"/>
        <v>0</v>
      </c>
      <c r="O327" s="230">
        <f t="shared" ca="1" si="206"/>
        <v>0</v>
      </c>
      <c r="P327" s="230">
        <f t="shared" ca="1" si="207"/>
        <v>0</v>
      </c>
      <c r="Q327" s="230">
        <f t="shared" ref="Q327:S327" si="216">Q328+Q329</f>
        <v>0</v>
      </c>
      <c r="R327" s="230">
        <f t="shared" si="216"/>
        <v>0</v>
      </c>
      <c r="S327" s="230">
        <f t="shared" si="216"/>
        <v>0</v>
      </c>
      <c r="T327" s="230">
        <f t="shared" si="209"/>
        <v>0</v>
      </c>
      <c r="U327" s="230">
        <f t="shared" si="210"/>
        <v>0</v>
      </c>
    </row>
    <row r="328" spans="1:21" ht="18.75" hidden="1" x14ac:dyDescent="0.25">
      <c r="A328" s="126"/>
      <c r="B328" s="187"/>
      <c r="C328" s="187"/>
      <c r="D328" s="187"/>
      <c r="E328" s="154" t="s">
        <v>20</v>
      </c>
      <c r="F328" s="187"/>
      <c r="G328" s="39"/>
      <c r="H328" s="157" t="s">
        <v>14</v>
      </c>
      <c r="I328" s="133"/>
      <c r="J328" s="133"/>
      <c r="K328" s="134"/>
      <c r="L328" s="483">
        <v>0</v>
      </c>
      <c r="M328" s="80">
        <v>0</v>
      </c>
      <c r="N328" s="80">
        <v>0</v>
      </c>
      <c r="O328" s="80">
        <f t="shared" si="206"/>
        <v>0</v>
      </c>
      <c r="P328" s="80">
        <f t="shared" si="207"/>
        <v>0</v>
      </c>
      <c r="Q328" s="80">
        <v>0</v>
      </c>
      <c r="R328" s="80">
        <v>0</v>
      </c>
      <c r="S328" s="80">
        <v>0</v>
      </c>
      <c r="T328" s="80">
        <f t="shared" si="209"/>
        <v>0</v>
      </c>
      <c r="U328" s="80">
        <f t="shared" si="210"/>
        <v>0</v>
      </c>
    </row>
    <row r="329" spans="1:21" ht="18.75" hidden="1" x14ac:dyDescent="0.25">
      <c r="A329" s="126"/>
      <c r="B329" s="187"/>
      <c r="C329" s="187"/>
      <c r="D329" s="187"/>
      <c r="E329" s="254" t="s">
        <v>21</v>
      </c>
      <c r="F329" s="187"/>
      <c r="G329" s="39"/>
      <c r="H329" s="135" t="s">
        <v>14</v>
      </c>
      <c r="I329" s="133"/>
      <c r="J329" s="133"/>
      <c r="K329" s="134"/>
      <c r="L329" s="481">
        <f ca="1">IFERROR(__xludf.DUMMYFUNCTION("IMPORTRANGE(""https://docs.google.com/spreadsheets/d/1-uDff_7J0KD5mKrp0Vvzr7lt3OU09vwQwhkpOPPYv2Y/edit?usp=sharing"",""งบพรบ!EL21"")"),0)</f>
        <v>0</v>
      </c>
      <c r="M329" s="230">
        <f ca="1">IFERROR(__xludf.DUMMYFUNCTION("IMPORTRANGE(""https://docs.google.com/spreadsheets/d/1-uDff_7J0KD5mKrp0Vvzr7lt3OU09vwQwhkpOPPYv2Y/edit?usp=sharing"",""งบพรบ!EO21"")"),0)</f>
        <v>0</v>
      </c>
      <c r="N329" s="230">
        <f ca="1">IFERROR(__xludf.DUMMYFUNCTION("IMPORTRANGE(""https://docs.google.com/spreadsheets/d/1-uDff_7J0KD5mKrp0Vvzr7lt3OU09vwQwhkpOPPYv2Y/edit?usp=sharing"",""งบพรบ!EQ21"")"),0)</f>
        <v>0</v>
      </c>
      <c r="O329" s="230">
        <f t="shared" ca="1" si="206"/>
        <v>0</v>
      </c>
      <c r="P329" s="230">
        <f t="shared" ca="1" si="207"/>
        <v>0</v>
      </c>
      <c r="Q329" s="230">
        <v>0</v>
      </c>
      <c r="R329" s="230">
        <v>0</v>
      </c>
      <c r="S329" s="230">
        <v>0</v>
      </c>
      <c r="T329" s="230">
        <f t="shared" si="209"/>
        <v>0</v>
      </c>
      <c r="U329" s="230">
        <f t="shared" si="210"/>
        <v>0</v>
      </c>
    </row>
    <row r="330" spans="1:21" ht="19.5" hidden="1" x14ac:dyDescent="0.3">
      <c r="A330" s="136"/>
      <c r="B330" s="137"/>
      <c r="C330" s="186" t="s">
        <v>18</v>
      </c>
      <c r="D330" s="516" t="s">
        <v>38</v>
      </c>
      <c r="E330" s="139"/>
      <c r="F330" s="139"/>
      <c r="G330" s="140"/>
      <c r="H330" s="141"/>
      <c r="I330" s="133"/>
      <c r="J330" s="41"/>
      <c r="K330" s="42"/>
      <c r="L330" s="484"/>
      <c r="M330" s="42"/>
      <c r="N330" s="42"/>
      <c r="O330" s="134"/>
      <c r="P330" s="134"/>
      <c r="Q330" s="42"/>
      <c r="R330" s="42"/>
      <c r="S330" s="42"/>
      <c r="T330" s="134"/>
      <c r="U330" s="134"/>
    </row>
    <row r="331" spans="1:21" ht="18.75" hidden="1" x14ac:dyDescent="0.25">
      <c r="A331" s="136"/>
      <c r="B331" s="137"/>
      <c r="C331" s="137"/>
      <c r="D331" s="319" t="s">
        <v>134</v>
      </c>
      <c r="E331" s="167"/>
      <c r="F331" s="167"/>
      <c r="G331" s="141"/>
      <c r="H331" s="40" t="s">
        <v>133</v>
      </c>
      <c r="I331" s="189">
        <f ca="1">IFERROR(__xludf.DUMMYFUNCTION("IMPORTRANGE(""https://docs.google.com/spreadsheets/d/1eHaY18a8A9IcSdp1K8H6x8fbOy06t2VsZHhMHf-1x7Y/edit?usp=sharing"",""แผน!EJ21"")"),0)</f>
        <v>0</v>
      </c>
      <c r="J331" s="520">
        <v>0</v>
      </c>
      <c r="K331" s="230">
        <f ca="1">IF(I331&gt;0,J331*100/I331,0)</f>
        <v>0</v>
      </c>
      <c r="L331" s="484"/>
      <c r="M331" s="42"/>
      <c r="N331" s="42"/>
      <c r="O331" s="134"/>
      <c r="P331" s="134"/>
      <c r="Q331" s="42"/>
      <c r="R331" s="42"/>
      <c r="S331" s="42"/>
      <c r="T331" s="134"/>
      <c r="U331" s="134"/>
    </row>
    <row r="332" spans="1:21" ht="19.5" x14ac:dyDescent="0.3">
      <c r="A332" s="294" t="s">
        <v>135</v>
      </c>
      <c r="B332" s="295"/>
      <c r="C332" s="295"/>
      <c r="D332" s="296"/>
      <c r="E332" s="295"/>
      <c r="F332" s="295"/>
      <c r="G332" s="295"/>
      <c r="H332" s="296"/>
      <c r="I332" s="298"/>
      <c r="J332" s="298"/>
      <c r="K332" s="299"/>
      <c r="L332" s="622"/>
      <c r="M332" s="299"/>
      <c r="N332" s="299"/>
      <c r="O332" s="299"/>
      <c r="P332" s="299"/>
      <c r="Q332" s="299"/>
      <c r="R332" s="299"/>
      <c r="S332" s="299"/>
      <c r="T332" s="299"/>
      <c r="U332" s="299"/>
    </row>
    <row r="333" spans="1:21" ht="19.5" x14ac:dyDescent="0.3">
      <c r="A333" s="300"/>
      <c r="B333" s="301" t="s">
        <v>136</v>
      </c>
      <c r="C333" s="310"/>
      <c r="D333" s="302"/>
      <c r="E333" s="302"/>
      <c r="F333" s="302"/>
      <c r="G333" s="303"/>
      <c r="H333" s="304" t="s">
        <v>35</v>
      </c>
      <c r="I333" s="634">
        <f ca="1">I345</f>
        <v>660</v>
      </c>
      <c r="J333" s="635">
        <f ca="1">J345+J348+J349+J350+J354</f>
        <v>932</v>
      </c>
      <c r="K333" s="636">
        <f ca="1">IF(I333&gt;0,J333*100/I333,0)</f>
        <v>141.21212121212122</v>
      </c>
      <c r="L333" s="625"/>
      <c r="M333" s="307"/>
      <c r="N333" s="307"/>
      <c r="O333" s="307"/>
      <c r="P333" s="307"/>
      <c r="Q333" s="307"/>
      <c r="R333" s="307"/>
      <c r="S333" s="307"/>
      <c r="T333" s="307"/>
      <c r="U333" s="307"/>
    </row>
    <row r="334" spans="1:21" ht="19.5" x14ac:dyDescent="0.3">
      <c r="A334" s="126"/>
      <c r="B334" s="187"/>
      <c r="C334" s="186" t="s">
        <v>18</v>
      </c>
      <c r="D334" s="513" t="s">
        <v>19</v>
      </c>
      <c r="E334" s="187"/>
      <c r="F334" s="187"/>
      <c r="G334" s="39"/>
      <c r="H334" s="129" t="s">
        <v>14</v>
      </c>
      <c r="I334" s="41"/>
      <c r="J334" s="41"/>
      <c r="K334" s="42"/>
      <c r="L334" s="514">
        <f t="shared" ref="L334:N334" ca="1" si="217">L335+L336</f>
        <v>103000</v>
      </c>
      <c r="M334" s="515">
        <f t="shared" ca="1" si="217"/>
        <v>108000</v>
      </c>
      <c r="N334" s="515">
        <f t="shared" ca="1" si="217"/>
        <v>65106.67</v>
      </c>
      <c r="O334" s="515">
        <f t="shared" ref="O334:O342" ca="1" si="218">IF(L334&gt;0,N334*100/L334,0)</f>
        <v>63.210359223300969</v>
      </c>
      <c r="P334" s="515">
        <f t="shared" ref="P334:P342" ca="1" si="219">IF(M334&gt;0,N334*100/M334,0)</f>
        <v>60.283953703703702</v>
      </c>
      <c r="Q334" s="515">
        <f t="shared" ref="Q334:S334" si="220">Q335+Q336</f>
        <v>0</v>
      </c>
      <c r="R334" s="515">
        <f t="shared" si="220"/>
        <v>0</v>
      </c>
      <c r="S334" s="515">
        <f t="shared" si="220"/>
        <v>0</v>
      </c>
      <c r="T334" s="515">
        <f t="shared" ref="T334:T342" si="221">IF(Q334&gt;0,S334*100/Q334,0)</f>
        <v>0</v>
      </c>
      <c r="U334" s="515">
        <f t="shared" ref="U334:U342" si="222">IF(R334&gt;0,S334*100/R334,0)</f>
        <v>0</v>
      </c>
    </row>
    <row r="335" spans="1:21" ht="18.75" hidden="1" x14ac:dyDescent="0.25">
      <c r="A335" s="126"/>
      <c r="B335" s="187"/>
      <c r="C335" s="187"/>
      <c r="D335" s="187"/>
      <c r="E335" s="154" t="s">
        <v>20</v>
      </c>
      <c r="F335" s="187"/>
      <c r="G335" s="39"/>
      <c r="H335" s="155" t="s">
        <v>14</v>
      </c>
      <c r="I335" s="41"/>
      <c r="J335" s="41"/>
      <c r="K335" s="42"/>
      <c r="L335" s="483">
        <f t="shared" ref="L335:N336" si="223">L338+L341</f>
        <v>0</v>
      </c>
      <c r="M335" s="80">
        <f t="shared" si="223"/>
        <v>0</v>
      </c>
      <c r="N335" s="80">
        <f t="shared" si="223"/>
        <v>0</v>
      </c>
      <c r="O335" s="80">
        <f t="shared" si="218"/>
        <v>0</v>
      </c>
      <c r="P335" s="80">
        <f t="shared" si="219"/>
        <v>0</v>
      </c>
      <c r="Q335" s="80">
        <f t="shared" ref="Q335:S336" si="224">Q338+Q341</f>
        <v>0</v>
      </c>
      <c r="R335" s="80">
        <f t="shared" si="224"/>
        <v>0</v>
      </c>
      <c r="S335" s="80">
        <f t="shared" si="224"/>
        <v>0</v>
      </c>
      <c r="T335" s="80">
        <f t="shared" si="221"/>
        <v>0</v>
      </c>
      <c r="U335" s="80">
        <f t="shared" si="222"/>
        <v>0</v>
      </c>
    </row>
    <row r="336" spans="1:21" ht="18.75" hidden="1" x14ac:dyDescent="0.25">
      <c r="A336" s="126"/>
      <c r="B336" s="187"/>
      <c r="C336" s="187"/>
      <c r="D336" s="187"/>
      <c r="E336" s="254" t="s">
        <v>21</v>
      </c>
      <c r="F336" s="187"/>
      <c r="G336" s="39"/>
      <c r="H336" s="131" t="s">
        <v>14</v>
      </c>
      <c r="I336" s="41"/>
      <c r="J336" s="41"/>
      <c r="K336" s="42"/>
      <c r="L336" s="481">
        <f t="shared" ca="1" si="223"/>
        <v>103000</v>
      </c>
      <c r="M336" s="230">
        <f t="shared" ca="1" si="223"/>
        <v>108000</v>
      </c>
      <c r="N336" s="230">
        <f t="shared" ca="1" si="223"/>
        <v>65106.67</v>
      </c>
      <c r="O336" s="230">
        <f t="shared" ca="1" si="218"/>
        <v>63.210359223300969</v>
      </c>
      <c r="P336" s="230">
        <f t="shared" ca="1" si="219"/>
        <v>60.283953703703702</v>
      </c>
      <c r="Q336" s="230">
        <f t="shared" si="224"/>
        <v>0</v>
      </c>
      <c r="R336" s="230">
        <f t="shared" si="224"/>
        <v>0</v>
      </c>
      <c r="S336" s="230">
        <f t="shared" si="224"/>
        <v>0</v>
      </c>
      <c r="T336" s="230">
        <f t="shared" si="221"/>
        <v>0</v>
      </c>
      <c r="U336" s="230">
        <f t="shared" si="222"/>
        <v>0</v>
      </c>
    </row>
    <row r="337" spans="1:21" ht="18.75" x14ac:dyDescent="0.25">
      <c r="A337" s="126"/>
      <c r="B337" s="187"/>
      <c r="C337" s="187"/>
      <c r="D337" s="38" t="s">
        <v>22</v>
      </c>
      <c r="E337" s="187"/>
      <c r="F337" s="187"/>
      <c r="G337" s="39"/>
      <c r="H337" s="132" t="s">
        <v>14</v>
      </c>
      <c r="I337" s="133"/>
      <c r="J337" s="133"/>
      <c r="K337" s="134"/>
      <c r="L337" s="481">
        <f t="shared" ref="L337:N337" ca="1" si="225">L338+L339</f>
        <v>103000</v>
      </c>
      <c r="M337" s="230">
        <f t="shared" ca="1" si="225"/>
        <v>108000</v>
      </c>
      <c r="N337" s="230">
        <f t="shared" ca="1" si="225"/>
        <v>65106.67</v>
      </c>
      <c r="O337" s="230">
        <f t="shared" ca="1" si="218"/>
        <v>63.210359223300969</v>
      </c>
      <c r="P337" s="230">
        <f t="shared" ca="1" si="219"/>
        <v>60.283953703703702</v>
      </c>
      <c r="Q337" s="230">
        <f t="shared" ref="Q337:S337" si="226">Q338+Q339</f>
        <v>0</v>
      </c>
      <c r="R337" s="230">
        <f t="shared" si="226"/>
        <v>0</v>
      </c>
      <c r="S337" s="230">
        <f t="shared" si="226"/>
        <v>0</v>
      </c>
      <c r="T337" s="230">
        <f t="shared" si="221"/>
        <v>0</v>
      </c>
      <c r="U337" s="230">
        <f t="shared" si="222"/>
        <v>0</v>
      </c>
    </row>
    <row r="338" spans="1:21" ht="18.75" hidden="1" x14ac:dyDescent="0.25">
      <c r="A338" s="126"/>
      <c r="B338" s="187"/>
      <c r="C338" s="187"/>
      <c r="D338" s="187"/>
      <c r="E338" s="154" t="s">
        <v>36</v>
      </c>
      <c r="F338" s="187"/>
      <c r="G338" s="39"/>
      <c r="H338" s="157" t="s">
        <v>14</v>
      </c>
      <c r="I338" s="133"/>
      <c r="J338" s="133"/>
      <c r="K338" s="134"/>
      <c r="L338" s="483">
        <v>0</v>
      </c>
      <c r="M338" s="80">
        <v>0</v>
      </c>
      <c r="N338" s="80">
        <v>0</v>
      </c>
      <c r="O338" s="80">
        <f t="shared" si="218"/>
        <v>0</v>
      </c>
      <c r="P338" s="80">
        <f t="shared" si="219"/>
        <v>0</v>
      </c>
      <c r="Q338" s="80">
        <v>0</v>
      </c>
      <c r="R338" s="80">
        <v>0</v>
      </c>
      <c r="S338" s="80">
        <v>0</v>
      </c>
      <c r="T338" s="80">
        <f t="shared" si="221"/>
        <v>0</v>
      </c>
      <c r="U338" s="80">
        <f t="shared" si="222"/>
        <v>0</v>
      </c>
    </row>
    <row r="339" spans="1:21" ht="18.75" hidden="1" x14ac:dyDescent="0.25">
      <c r="A339" s="126"/>
      <c r="B339" s="187"/>
      <c r="C339" s="187"/>
      <c r="D339" s="187"/>
      <c r="E339" s="254" t="s">
        <v>37</v>
      </c>
      <c r="F339" s="187"/>
      <c r="G339" s="39"/>
      <c r="H339" s="132" t="s">
        <v>14</v>
      </c>
      <c r="I339" s="133"/>
      <c r="J339" s="133"/>
      <c r="K339" s="134"/>
      <c r="L339" s="481">
        <f ca="1">IFERROR(__xludf.DUMMYFUNCTION("IMPORTRANGE(""https://docs.google.com/spreadsheets/d/1-uDff_7J0KD5mKrp0Vvzr7lt3OU09vwQwhkpOPPYv2Y/edit?usp=sharing"",""งบพรบ!ES21"")"),103000)</f>
        <v>103000</v>
      </c>
      <c r="M339" s="230">
        <f ca="1">IFERROR(__xludf.DUMMYFUNCTION("IMPORTRANGE(""https://docs.google.com/spreadsheets/d/1-uDff_7J0KD5mKrp0Vvzr7lt3OU09vwQwhkpOPPYv2Y/edit?usp=sharing"",""งบพรบ!EX21"")"),108000)</f>
        <v>108000</v>
      </c>
      <c r="N339" s="230">
        <f ca="1">IFERROR(__xludf.DUMMYFUNCTION("IMPORTRANGE(""https://docs.google.com/spreadsheets/d/1-uDff_7J0KD5mKrp0Vvzr7lt3OU09vwQwhkpOPPYv2Y/edit?usp=sharing"",""งบพรบ!EZ21"")"),65106.67)</f>
        <v>65106.67</v>
      </c>
      <c r="O339" s="230">
        <f t="shared" ca="1" si="218"/>
        <v>63.210359223300969</v>
      </c>
      <c r="P339" s="230">
        <f t="shared" ca="1" si="219"/>
        <v>60.283953703703702</v>
      </c>
      <c r="Q339" s="230">
        <v>0</v>
      </c>
      <c r="R339" s="230">
        <v>0</v>
      </c>
      <c r="S339" s="230">
        <v>0</v>
      </c>
      <c r="T339" s="230">
        <f t="shared" si="221"/>
        <v>0</v>
      </c>
      <c r="U339" s="230">
        <f t="shared" si="222"/>
        <v>0</v>
      </c>
    </row>
    <row r="340" spans="1:21" ht="18.75" x14ac:dyDescent="0.25">
      <c r="A340" s="126"/>
      <c r="B340" s="187"/>
      <c r="C340" s="187"/>
      <c r="D340" s="38" t="s">
        <v>23</v>
      </c>
      <c r="E340" s="187"/>
      <c r="F340" s="187"/>
      <c r="G340" s="39"/>
      <c r="H340" s="135" t="s">
        <v>14</v>
      </c>
      <c r="I340" s="133"/>
      <c r="J340" s="133"/>
      <c r="K340" s="134"/>
      <c r="L340" s="481">
        <f t="shared" ref="L340:N340" ca="1" si="227">L341+L342</f>
        <v>0</v>
      </c>
      <c r="M340" s="230">
        <f t="shared" ca="1" si="227"/>
        <v>0</v>
      </c>
      <c r="N340" s="230">
        <f t="shared" ca="1" si="227"/>
        <v>0</v>
      </c>
      <c r="O340" s="230">
        <f t="shared" ca="1" si="218"/>
        <v>0</v>
      </c>
      <c r="P340" s="230">
        <f t="shared" ca="1" si="219"/>
        <v>0</v>
      </c>
      <c r="Q340" s="230">
        <f t="shared" ref="Q340:S340" si="228">Q341+Q342</f>
        <v>0</v>
      </c>
      <c r="R340" s="230">
        <f t="shared" si="228"/>
        <v>0</v>
      </c>
      <c r="S340" s="230">
        <f t="shared" si="228"/>
        <v>0</v>
      </c>
      <c r="T340" s="230">
        <f t="shared" si="221"/>
        <v>0</v>
      </c>
      <c r="U340" s="230">
        <f t="shared" si="222"/>
        <v>0</v>
      </c>
    </row>
    <row r="341" spans="1:21" ht="18.75" hidden="1" x14ac:dyDescent="0.25">
      <c r="A341" s="126"/>
      <c r="B341" s="187"/>
      <c r="C341" s="187"/>
      <c r="D341" s="187"/>
      <c r="E341" s="154" t="s">
        <v>20</v>
      </c>
      <c r="F341" s="187"/>
      <c r="G341" s="39"/>
      <c r="H341" s="157" t="s">
        <v>14</v>
      </c>
      <c r="I341" s="133"/>
      <c r="J341" s="133"/>
      <c r="K341" s="134"/>
      <c r="L341" s="483">
        <v>0</v>
      </c>
      <c r="M341" s="80">
        <v>0</v>
      </c>
      <c r="N341" s="80">
        <v>0</v>
      </c>
      <c r="O341" s="80">
        <f t="shared" si="218"/>
        <v>0</v>
      </c>
      <c r="P341" s="80">
        <f t="shared" si="219"/>
        <v>0</v>
      </c>
      <c r="Q341" s="80">
        <v>0</v>
      </c>
      <c r="R341" s="80">
        <v>0</v>
      </c>
      <c r="S341" s="80">
        <v>0</v>
      </c>
      <c r="T341" s="80">
        <f t="shared" si="221"/>
        <v>0</v>
      </c>
      <c r="U341" s="80">
        <f t="shared" si="222"/>
        <v>0</v>
      </c>
    </row>
    <row r="342" spans="1:21" ht="18.75" hidden="1" x14ac:dyDescent="0.25">
      <c r="A342" s="126"/>
      <c r="B342" s="187"/>
      <c r="C342" s="187"/>
      <c r="D342" s="187"/>
      <c r="E342" s="254" t="s">
        <v>21</v>
      </c>
      <c r="F342" s="187"/>
      <c r="G342" s="39"/>
      <c r="H342" s="135" t="s">
        <v>14</v>
      </c>
      <c r="I342" s="133"/>
      <c r="J342" s="133"/>
      <c r="K342" s="134"/>
      <c r="L342" s="481">
        <f ca="1">IFERROR(__xludf.DUMMYFUNCTION("IMPORTRANGE(""https://docs.google.com/spreadsheets/d/1-uDff_7J0KD5mKrp0Vvzr7lt3OU09vwQwhkpOPPYv2Y/edit?usp=sharing"",""งบพรบ!EV21"")"),0)</f>
        <v>0</v>
      </c>
      <c r="M342" s="230">
        <f ca="1">IFERROR(__xludf.DUMMYFUNCTION("IMPORTRANGE(""https://docs.google.com/spreadsheets/d/1-uDff_7J0KD5mKrp0Vvzr7lt3OU09vwQwhkpOPPYv2Y/edit?usp=sharing"",""งบพรบ!EY21"")"),0)</f>
        <v>0</v>
      </c>
      <c r="N342" s="230">
        <f ca="1">IFERROR(__xludf.DUMMYFUNCTION("IMPORTRANGE(""https://docs.google.com/spreadsheets/d/1-uDff_7J0KD5mKrp0Vvzr7lt3OU09vwQwhkpOPPYv2Y/edit?usp=sharing"",""งบพรบ!FA21"")"),0)</f>
        <v>0</v>
      </c>
      <c r="O342" s="230">
        <f t="shared" ca="1" si="218"/>
        <v>0</v>
      </c>
      <c r="P342" s="230">
        <f t="shared" ca="1" si="219"/>
        <v>0</v>
      </c>
      <c r="Q342" s="230">
        <v>0</v>
      </c>
      <c r="R342" s="230">
        <v>0</v>
      </c>
      <c r="S342" s="230">
        <v>0</v>
      </c>
      <c r="T342" s="230">
        <f t="shared" si="221"/>
        <v>0</v>
      </c>
      <c r="U342" s="230">
        <f t="shared" si="222"/>
        <v>0</v>
      </c>
    </row>
    <row r="343" spans="1:21" ht="19.5" x14ac:dyDescent="0.3">
      <c r="A343" s="136"/>
      <c r="B343" s="137"/>
      <c r="C343" s="186" t="s">
        <v>18</v>
      </c>
      <c r="D343" s="311" t="s">
        <v>38</v>
      </c>
      <c r="E343" s="139"/>
      <c r="F343" s="139"/>
      <c r="G343" s="140"/>
      <c r="H343" s="39"/>
      <c r="I343" s="41"/>
      <c r="J343" s="41"/>
      <c r="K343" s="42"/>
      <c r="L343" s="484"/>
      <c r="M343" s="42"/>
      <c r="N343" s="42"/>
      <c r="O343" s="134"/>
      <c r="P343" s="134"/>
      <c r="Q343" s="42"/>
      <c r="R343" s="42"/>
      <c r="S343" s="42"/>
      <c r="T343" s="134"/>
      <c r="U343" s="134"/>
    </row>
    <row r="344" spans="1:21" ht="19.5" x14ac:dyDescent="0.3">
      <c r="A344" s="637"/>
      <c r="B344" s="638"/>
      <c r="C344" s="639"/>
      <c r="D344" s="638"/>
      <c r="E344" s="640" t="s">
        <v>137</v>
      </c>
      <c r="F344" s="638"/>
      <c r="G344" s="641"/>
      <c r="H344" s="642" t="s">
        <v>35</v>
      </c>
      <c r="I344" s="643">
        <v>0</v>
      </c>
      <c r="J344" s="643">
        <f ca="1">J345+J348+J349+J350</f>
        <v>168</v>
      </c>
      <c r="K344" s="644">
        <v>0</v>
      </c>
      <c r="L344" s="538"/>
      <c r="M344" s="225"/>
      <c r="N344" s="225"/>
      <c r="O344" s="225"/>
      <c r="P344" s="225"/>
      <c r="Q344" s="225"/>
      <c r="R344" s="225"/>
      <c r="S344" s="225"/>
      <c r="T344" s="225"/>
      <c r="U344" s="225"/>
    </row>
    <row r="345" spans="1:21" ht="18.75" x14ac:dyDescent="0.25">
      <c r="A345" s="214"/>
      <c r="B345" s="187"/>
      <c r="C345" s="156"/>
      <c r="D345" s="167"/>
      <c r="E345" s="164" t="s">
        <v>138</v>
      </c>
      <c r="F345" s="187"/>
      <c r="G345" s="39"/>
      <c r="H345" s="216" t="s">
        <v>35</v>
      </c>
      <c r="I345" s="189">
        <f ca="1">IFERROR(__xludf.DUMMYFUNCTION("IMPORTRANGE(""https://docs.google.com/spreadsheets/d/1eHaY18a8A9IcSdp1K8H6x8fbOy06t2VsZHhMHf-1x7Y/edit?usp=sharing"",""แผน!EK21"")"),660)</f>
        <v>660</v>
      </c>
      <c r="J345" s="189">
        <f ca="1">IFERROR(__xludf.DUMMYFUNCTION("IMPORTRANGE(""https://docs.google.com/spreadsheets/d/1awYsYK3VOup2i3Pq_Yjnu8DRu_mYwSBnCR2QPthd0rU/edit?usp=sharing"",""ศูนย์ยกเว้นโฉนด!D21"")"),166)</f>
        <v>166</v>
      </c>
      <c r="K345" s="230">
        <f ca="1">IF(I345&gt;0,J345*100/I345,0)</f>
        <v>25.151515151515152</v>
      </c>
      <c r="L345" s="484"/>
      <c r="M345" s="42"/>
      <c r="N345" s="42"/>
      <c r="O345" s="42"/>
      <c r="P345" s="42"/>
      <c r="Q345" s="42"/>
      <c r="R345" s="42"/>
      <c r="S345" s="42"/>
      <c r="T345" s="42"/>
      <c r="U345" s="42"/>
    </row>
    <row r="346" spans="1:21" ht="18.75" x14ac:dyDescent="0.25">
      <c r="A346" s="214"/>
      <c r="B346" s="187"/>
      <c r="C346" s="156"/>
      <c r="D346" s="167"/>
      <c r="E346" s="164" t="s">
        <v>139</v>
      </c>
      <c r="F346" s="187"/>
      <c r="G346" s="39"/>
      <c r="H346" s="181"/>
      <c r="I346" s="41"/>
      <c r="J346" s="41"/>
      <c r="K346" s="42"/>
      <c r="L346" s="484"/>
      <c r="M346" s="42"/>
      <c r="N346" s="42"/>
      <c r="O346" s="42"/>
      <c r="P346" s="42"/>
      <c r="Q346" s="42"/>
      <c r="R346" s="42"/>
      <c r="S346" s="42"/>
      <c r="T346" s="42"/>
      <c r="U346" s="42"/>
    </row>
    <row r="347" spans="1:21" ht="18.75" x14ac:dyDescent="0.25">
      <c r="A347" s="214"/>
      <c r="B347" s="187"/>
      <c r="C347" s="156"/>
      <c r="D347" s="167"/>
      <c r="E347" s="167"/>
      <c r="F347" s="164" t="s">
        <v>140</v>
      </c>
      <c r="G347" s="39"/>
      <c r="H347" s="176" t="s">
        <v>141</v>
      </c>
      <c r="I347" s="189">
        <f ca="1">IFERROR(__xludf.DUMMYFUNCTION("IMPORTRANGE(""https://docs.google.com/spreadsheets/d/1eHaY18a8A9IcSdp1K8H6x8fbOy06t2VsZHhMHf-1x7Y/edit?usp=sharing"",""แผน!EL21"")"),3)</f>
        <v>3</v>
      </c>
      <c r="J347" s="189">
        <f ca="1">IFERROR(__xludf.DUMMYFUNCTION("IMPORTRANGE(""https://docs.google.com/spreadsheets/d/1awYsYK3VOup2i3Pq_Yjnu8DRu_mYwSBnCR2QPthd0rU/edit?usp=sharing"",""ศูนย์รวม!E21"")"),6)</f>
        <v>6</v>
      </c>
      <c r="K347" s="230">
        <f ca="1">IF(I347&gt;0,J347*100/I347,0)</f>
        <v>200</v>
      </c>
      <c r="L347" s="484"/>
      <c r="M347" s="42"/>
      <c r="N347" s="42"/>
      <c r="O347" s="42"/>
      <c r="P347" s="42"/>
      <c r="Q347" s="42"/>
      <c r="R347" s="42"/>
      <c r="S347" s="42"/>
      <c r="T347" s="42"/>
      <c r="U347" s="42"/>
    </row>
    <row r="348" spans="1:21" ht="18.75" x14ac:dyDescent="0.25">
      <c r="A348" s="214"/>
      <c r="B348" s="187"/>
      <c r="C348" s="156"/>
      <c r="D348" s="167"/>
      <c r="E348" s="167"/>
      <c r="F348" s="164" t="s">
        <v>142</v>
      </c>
      <c r="G348" s="39"/>
      <c r="H348" s="176" t="s">
        <v>35</v>
      </c>
      <c r="I348" s="41"/>
      <c r="J348" s="189">
        <f ca="1">IFERROR(__xludf.DUMMYFUNCTION("IMPORTRANGE(""https://docs.google.com/spreadsheets/d/1awYsYK3VOup2i3Pq_Yjnu8DRu_mYwSBnCR2QPthd0rU/edit?usp=sharing"",""ศูนย์ยกเว้นโฉนด!F21"")"),1)</f>
        <v>1</v>
      </c>
      <c r="K348" s="42"/>
      <c r="L348" s="484"/>
      <c r="M348" s="42"/>
      <c r="N348" s="42"/>
      <c r="O348" s="42"/>
      <c r="P348" s="42"/>
      <c r="Q348" s="42"/>
      <c r="R348" s="42"/>
      <c r="S348" s="42"/>
      <c r="T348" s="42"/>
      <c r="U348" s="42"/>
    </row>
    <row r="349" spans="1:21" ht="18.75" x14ac:dyDescent="0.25">
      <c r="A349" s="214"/>
      <c r="B349" s="187"/>
      <c r="C349" s="156"/>
      <c r="D349" s="167"/>
      <c r="E349" s="164" t="s">
        <v>143</v>
      </c>
      <c r="F349" s="167"/>
      <c r="G349" s="39"/>
      <c r="H349" s="176" t="s">
        <v>35</v>
      </c>
      <c r="I349" s="41"/>
      <c r="J349" s="189">
        <f ca="1">IFERROR(__xludf.DUMMYFUNCTION("IMPORTRANGE(""https://docs.google.com/spreadsheets/d/1awYsYK3VOup2i3Pq_Yjnu8DRu_mYwSBnCR2QPthd0rU/edit?usp=sharing"",""ศูนย์ยกเว้นโฉนด!G21"")"),1)</f>
        <v>1</v>
      </c>
      <c r="K349" s="42"/>
      <c r="L349" s="484"/>
      <c r="M349" s="42"/>
      <c r="N349" s="42"/>
      <c r="O349" s="42"/>
      <c r="P349" s="42"/>
      <c r="Q349" s="42"/>
      <c r="R349" s="42"/>
      <c r="S349" s="42"/>
      <c r="T349" s="42"/>
      <c r="U349" s="42"/>
    </row>
    <row r="350" spans="1:21" ht="18.75" x14ac:dyDescent="0.25">
      <c r="A350" s="214"/>
      <c r="B350" s="187"/>
      <c r="C350" s="156"/>
      <c r="D350" s="137"/>
      <c r="E350" s="164" t="s">
        <v>144</v>
      </c>
      <c r="F350" s="167"/>
      <c r="G350" s="39"/>
      <c r="H350" s="176" t="s">
        <v>35</v>
      </c>
      <c r="I350" s="41"/>
      <c r="J350" s="189">
        <f ca="1">IFERROR(__xludf.DUMMYFUNCTION("IMPORTRANGE(""https://docs.google.com/spreadsheets/d/1awYsYK3VOup2i3Pq_Yjnu8DRu_mYwSBnCR2QPthd0rU/edit?usp=sharing"",""ศูนย์ยกเว้นโฉนด!H21"")"),0)</f>
        <v>0</v>
      </c>
      <c r="K350" s="42"/>
      <c r="L350" s="484"/>
      <c r="M350" s="42"/>
      <c r="N350" s="42"/>
      <c r="O350" s="42"/>
      <c r="P350" s="42"/>
      <c r="Q350" s="42"/>
      <c r="R350" s="42"/>
      <c r="S350" s="42"/>
      <c r="T350" s="42"/>
      <c r="U350" s="42"/>
    </row>
    <row r="351" spans="1:21" ht="16.5" x14ac:dyDescent="0.25">
      <c r="A351" s="156"/>
      <c r="B351" s="187"/>
      <c r="C351" s="156"/>
      <c r="D351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187"/>
      <c r="F351" s="187"/>
      <c r="G351" s="39"/>
      <c r="H351" s="181"/>
      <c r="I351" s="41"/>
      <c r="J351" s="41"/>
      <c r="K351" s="42"/>
      <c r="L351" s="484"/>
      <c r="M351" s="42"/>
      <c r="N351" s="42"/>
      <c r="O351" s="42"/>
      <c r="P351" s="42"/>
      <c r="Q351" s="42"/>
      <c r="R351" s="42"/>
      <c r="S351" s="42"/>
      <c r="T351" s="42"/>
      <c r="U351" s="42"/>
    </row>
    <row r="352" spans="1:21" ht="19.5" x14ac:dyDescent="0.3">
      <c r="A352" s="217"/>
      <c r="B352" s="220"/>
      <c r="C352" s="218"/>
      <c r="D352" s="220"/>
      <c r="E352" s="645" t="s">
        <v>145</v>
      </c>
      <c r="F352" s="220"/>
      <c r="G352" s="221"/>
      <c r="H352" s="222" t="s">
        <v>35</v>
      </c>
      <c r="I352" s="313">
        <v>0</v>
      </c>
      <c r="J352" s="313">
        <f ca="1">J353+J354</f>
        <v>900</v>
      </c>
      <c r="K352" s="314">
        <v>0</v>
      </c>
      <c r="L352" s="538"/>
      <c r="M352" s="225"/>
      <c r="N352" s="225"/>
      <c r="O352" s="225"/>
      <c r="P352" s="225"/>
      <c r="Q352" s="225"/>
      <c r="R352" s="225"/>
      <c r="S352" s="225"/>
      <c r="T352" s="225"/>
      <c r="U352" s="225"/>
    </row>
    <row r="353" spans="1:21" ht="18.75" x14ac:dyDescent="0.25">
      <c r="A353" s="156"/>
      <c r="B353" s="187"/>
      <c r="C353" s="156"/>
      <c r="D353" s="167"/>
      <c r="E353" s="164" t="s">
        <v>146</v>
      </c>
      <c r="F353" s="187"/>
      <c r="G353" s="39"/>
      <c r="H353" s="131" t="s">
        <v>35</v>
      </c>
      <c r="I353" s="41"/>
      <c r="J353" s="189">
        <f ca="1">IFERROR(__xludf.DUMMYFUNCTION("IMPORTRANGE(""https://docs.google.com/spreadsheets/d/1awYsYK3VOup2i3Pq_Yjnu8DRu_mYwSBnCR2QPthd0rU/edit?usp=sharing"",""โฉนดM3!G21"")"),136)</f>
        <v>136</v>
      </c>
      <c r="K353" s="42"/>
      <c r="L353" s="484"/>
      <c r="M353" s="42"/>
      <c r="N353" s="42"/>
      <c r="O353" s="42"/>
      <c r="P353" s="42"/>
      <c r="Q353" s="42"/>
      <c r="R353" s="42"/>
      <c r="S353" s="42"/>
      <c r="T353" s="42"/>
      <c r="U353" s="42"/>
    </row>
    <row r="354" spans="1:21" ht="18.75" x14ac:dyDescent="0.25">
      <c r="A354" s="156"/>
      <c r="B354" s="187"/>
      <c r="C354" s="156"/>
      <c r="D354" s="167"/>
      <c r="E354" s="164" t="s">
        <v>147</v>
      </c>
      <c r="F354" s="187"/>
      <c r="G354" s="39"/>
      <c r="H354" s="131" t="s">
        <v>35</v>
      </c>
      <c r="I354" s="41"/>
      <c r="J354" s="189">
        <f ca="1">IFERROR(__xludf.DUMMYFUNCTION("IMPORTRANGE(""https://docs.google.com/spreadsheets/d/1awYsYK3VOup2i3Pq_Yjnu8DRu_mYwSBnCR2QPthd0rU/edit?usp=sharing"",""โฉนดM3!H21"")"),764)</f>
        <v>764</v>
      </c>
      <c r="K354" s="42"/>
      <c r="L354" s="484"/>
      <c r="M354" s="42"/>
      <c r="N354" s="42"/>
      <c r="O354" s="42"/>
      <c r="P354" s="42"/>
      <c r="Q354" s="42"/>
      <c r="R354" s="42"/>
      <c r="S354" s="42"/>
      <c r="T354" s="42"/>
      <c r="U354" s="42"/>
    </row>
    <row r="355" spans="1:21" ht="16.5" x14ac:dyDescent="0.25">
      <c r="A355" s="156"/>
      <c r="B355" s="187"/>
      <c r="C355" s="156"/>
      <c r="D355" s="31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187"/>
      <c r="F355" s="187"/>
      <c r="G355" s="39"/>
      <c r="H355" s="181"/>
      <c r="I355" s="41"/>
      <c r="J355" s="41"/>
      <c r="K355" s="42"/>
      <c r="L355" s="484"/>
      <c r="M355" s="42"/>
      <c r="N355" s="42"/>
      <c r="O355" s="42"/>
      <c r="P355" s="42"/>
      <c r="Q355" s="42"/>
      <c r="R355" s="42"/>
      <c r="S355" s="42"/>
      <c r="T355" s="42"/>
      <c r="U355" s="42"/>
    </row>
    <row r="356" spans="1:21" ht="19.5" x14ac:dyDescent="0.3">
      <c r="A356" s="300"/>
      <c r="B356" s="301" t="s">
        <v>148</v>
      </c>
      <c r="C356" s="310"/>
      <c r="D356" s="302"/>
      <c r="E356" s="302"/>
      <c r="F356" s="302"/>
      <c r="G356" s="303"/>
      <c r="H356" s="303"/>
      <c r="I356" s="317"/>
      <c r="J356" s="317"/>
      <c r="K356" s="307"/>
      <c r="L356" s="625"/>
      <c r="M356" s="307"/>
      <c r="N356" s="307"/>
      <c r="O356" s="307"/>
      <c r="P356" s="307"/>
      <c r="Q356" s="307"/>
      <c r="R356" s="307"/>
      <c r="S356" s="307"/>
      <c r="T356" s="307"/>
      <c r="U356" s="307"/>
    </row>
    <row r="357" spans="1:21" ht="19.5" x14ac:dyDescent="0.3">
      <c r="A357" s="126"/>
      <c r="B357" s="187"/>
      <c r="C357" s="186" t="s">
        <v>18</v>
      </c>
      <c r="D357" s="513" t="s">
        <v>19</v>
      </c>
      <c r="E357" s="187"/>
      <c r="F357" s="187"/>
      <c r="G357" s="39"/>
      <c r="H357" s="129" t="s">
        <v>14</v>
      </c>
      <c r="I357" s="41"/>
      <c r="J357" s="41"/>
      <c r="K357" s="42"/>
      <c r="L357" s="514">
        <f t="shared" ref="L357:N357" ca="1" si="229">L358+L359</f>
        <v>450035</v>
      </c>
      <c r="M357" s="515">
        <f t="shared" ca="1" si="229"/>
        <v>450035</v>
      </c>
      <c r="N357" s="515">
        <f t="shared" ca="1" si="229"/>
        <v>213699.97</v>
      </c>
      <c r="O357" s="515">
        <f t="shared" ref="O357:O365" ca="1" si="230">IF(L357&gt;0,N357*100/L357,0)</f>
        <v>47.48518892974991</v>
      </c>
      <c r="P357" s="515">
        <f t="shared" ref="P357:P365" ca="1" si="231">IF(M357&gt;0,N357*100/M357,0)</f>
        <v>47.48518892974991</v>
      </c>
      <c r="Q357" s="515">
        <f t="shared" ref="Q357:S357" si="232">Q358+Q359</f>
        <v>0</v>
      </c>
      <c r="R357" s="515">
        <f t="shared" si="232"/>
        <v>0</v>
      </c>
      <c r="S357" s="515">
        <f t="shared" si="232"/>
        <v>0</v>
      </c>
      <c r="T357" s="515">
        <f t="shared" ref="T357:T365" si="233">IF(Q357&gt;0,S357*100/Q357,0)</f>
        <v>0</v>
      </c>
      <c r="U357" s="515">
        <f t="shared" ref="U357:U365" si="234">IF(R357&gt;0,S357*100/R357,0)</f>
        <v>0</v>
      </c>
    </row>
    <row r="358" spans="1:21" ht="18.75" hidden="1" x14ac:dyDescent="0.25">
      <c r="A358" s="126"/>
      <c r="B358" s="187"/>
      <c r="C358" s="187"/>
      <c r="D358" s="187"/>
      <c r="E358" s="154" t="s">
        <v>20</v>
      </c>
      <c r="F358" s="187"/>
      <c r="G358" s="39"/>
      <c r="H358" s="155" t="s">
        <v>14</v>
      </c>
      <c r="I358" s="41"/>
      <c r="J358" s="41"/>
      <c r="K358" s="42"/>
      <c r="L358" s="483">
        <f t="shared" ref="L358:N359" si="235">L361+L364</f>
        <v>0</v>
      </c>
      <c r="M358" s="80">
        <f t="shared" si="235"/>
        <v>0</v>
      </c>
      <c r="N358" s="80">
        <f t="shared" si="235"/>
        <v>0</v>
      </c>
      <c r="O358" s="80">
        <f t="shared" si="230"/>
        <v>0</v>
      </c>
      <c r="P358" s="80">
        <f t="shared" si="231"/>
        <v>0</v>
      </c>
      <c r="Q358" s="80">
        <f t="shared" ref="Q358:S359" si="236">Q361+Q364</f>
        <v>0</v>
      </c>
      <c r="R358" s="80">
        <f t="shared" si="236"/>
        <v>0</v>
      </c>
      <c r="S358" s="80">
        <f t="shared" si="236"/>
        <v>0</v>
      </c>
      <c r="T358" s="80">
        <f t="shared" si="233"/>
        <v>0</v>
      </c>
      <c r="U358" s="80">
        <f t="shared" si="234"/>
        <v>0</v>
      </c>
    </row>
    <row r="359" spans="1:21" ht="18.75" hidden="1" x14ac:dyDescent="0.25">
      <c r="A359" s="126"/>
      <c r="B359" s="187"/>
      <c r="C359" s="187"/>
      <c r="D359" s="187"/>
      <c r="E359" s="254" t="s">
        <v>21</v>
      </c>
      <c r="F359" s="187"/>
      <c r="G359" s="39"/>
      <c r="H359" s="131" t="s">
        <v>14</v>
      </c>
      <c r="I359" s="41"/>
      <c r="J359" s="41"/>
      <c r="K359" s="42"/>
      <c r="L359" s="481">
        <f t="shared" ca="1" si="235"/>
        <v>450035</v>
      </c>
      <c r="M359" s="230">
        <f t="shared" ca="1" si="235"/>
        <v>450035</v>
      </c>
      <c r="N359" s="230">
        <f t="shared" ca="1" si="235"/>
        <v>213699.97</v>
      </c>
      <c r="O359" s="230">
        <f t="shared" ca="1" si="230"/>
        <v>47.48518892974991</v>
      </c>
      <c r="P359" s="230">
        <f t="shared" ca="1" si="231"/>
        <v>47.48518892974991</v>
      </c>
      <c r="Q359" s="230">
        <f t="shared" si="236"/>
        <v>0</v>
      </c>
      <c r="R359" s="230">
        <f t="shared" si="236"/>
        <v>0</v>
      </c>
      <c r="S359" s="230">
        <f t="shared" si="236"/>
        <v>0</v>
      </c>
      <c r="T359" s="230">
        <f t="shared" si="233"/>
        <v>0</v>
      </c>
      <c r="U359" s="230">
        <f t="shared" si="234"/>
        <v>0</v>
      </c>
    </row>
    <row r="360" spans="1:21" ht="18.75" x14ac:dyDescent="0.25">
      <c r="A360" s="126"/>
      <c r="B360" s="187"/>
      <c r="C360" s="187"/>
      <c r="D360" s="38" t="s">
        <v>22</v>
      </c>
      <c r="E360" s="187"/>
      <c r="F360" s="187"/>
      <c r="G360" s="39"/>
      <c r="H360" s="132" t="s">
        <v>14</v>
      </c>
      <c r="I360" s="133"/>
      <c r="J360" s="133"/>
      <c r="K360" s="134"/>
      <c r="L360" s="481">
        <f t="shared" ref="L360:N360" ca="1" si="237">L361+L362</f>
        <v>450035</v>
      </c>
      <c r="M360" s="230">
        <f t="shared" ca="1" si="237"/>
        <v>450035</v>
      </c>
      <c r="N360" s="230">
        <f t="shared" ca="1" si="237"/>
        <v>213699.97</v>
      </c>
      <c r="O360" s="230">
        <f t="shared" ca="1" si="230"/>
        <v>47.48518892974991</v>
      </c>
      <c r="P360" s="230">
        <f t="shared" ca="1" si="231"/>
        <v>47.48518892974991</v>
      </c>
      <c r="Q360" s="230">
        <f t="shared" ref="Q360:S360" si="238">Q361+Q362</f>
        <v>0</v>
      </c>
      <c r="R360" s="230">
        <f t="shared" si="238"/>
        <v>0</v>
      </c>
      <c r="S360" s="230">
        <f t="shared" si="238"/>
        <v>0</v>
      </c>
      <c r="T360" s="230">
        <f t="shared" si="233"/>
        <v>0</v>
      </c>
      <c r="U360" s="230">
        <f t="shared" si="234"/>
        <v>0</v>
      </c>
    </row>
    <row r="361" spans="1:21" ht="18.75" hidden="1" x14ac:dyDescent="0.25">
      <c r="A361" s="126"/>
      <c r="B361" s="187"/>
      <c r="C361" s="187"/>
      <c r="D361" s="187"/>
      <c r="E361" s="154" t="s">
        <v>36</v>
      </c>
      <c r="F361" s="187"/>
      <c r="G361" s="39"/>
      <c r="H361" s="157" t="s">
        <v>14</v>
      </c>
      <c r="I361" s="133"/>
      <c r="J361" s="133"/>
      <c r="K361" s="134"/>
      <c r="L361" s="483">
        <v>0</v>
      </c>
      <c r="M361" s="80">
        <v>0</v>
      </c>
      <c r="N361" s="80">
        <v>0</v>
      </c>
      <c r="O361" s="80">
        <f t="shared" si="230"/>
        <v>0</v>
      </c>
      <c r="P361" s="80">
        <f t="shared" si="231"/>
        <v>0</v>
      </c>
      <c r="Q361" s="80">
        <v>0</v>
      </c>
      <c r="R361" s="80">
        <v>0</v>
      </c>
      <c r="S361" s="80">
        <v>0</v>
      </c>
      <c r="T361" s="80">
        <f t="shared" si="233"/>
        <v>0</v>
      </c>
      <c r="U361" s="80">
        <f t="shared" si="234"/>
        <v>0</v>
      </c>
    </row>
    <row r="362" spans="1:21" ht="18.75" hidden="1" x14ac:dyDescent="0.25">
      <c r="A362" s="126"/>
      <c r="B362" s="187"/>
      <c r="C362" s="187"/>
      <c r="D362" s="187"/>
      <c r="E362" s="254" t="s">
        <v>37</v>
      </c>
      <c r="F362" s="187"/>
      <c r="G362" s="39"/>
      <c r="H362" s="132" t="s">
        <v>14</v>
      </c>
      <c r="I362" s="133"/>
      <c r="J362" s="133"/>
      <c r="K362" s="134"/>
      <c r="L362" s="481">
        <f ca="1">IFERROR(__xludf.DUMMYFUNCTION("IMPORTRANGE(""https://docs.google.com/spreadsheets/d/1-uDff_7J0KD5mKrp0Vvzr7lt3OU09vwQwhkpOPPYv2Y/edit?usp=sharing"",""งบพรบ!FC21"")"),450035)</f>
        <v>450035</v>
      </c>
      <c r="M362" s="230">
        <f ca="1">IFERROR(__xludf.DUMMYFUNCTION("IMPORTRANGE(""https://docs.google.com/spreadsheets/d/1-uDff_7J0KD5mKrp0Vvzr7lt3OU09vwQwhkpOPPYv2Y/edit?usp=sharing"",""งบพรบ!FH21"")"),450035)</f>
        <v>450035</v>
      </c>
      <c r="N362" s="230">
        <f ca="1">IFERROR(__xludf.DUMMYFUNCTION("IMPORTRANGE(""https://docs.google.com/spreadsheets/d/1-uDff_7J0KD5mKrp0Vvzr7lt3OU09vwQwhkpOPPYv2Y/edit?usp=sharing"",""งบพรบ!FJ21"")"),213699.97)</f>
        <v>213699.97</v>
      </c>
      <c r="O362" s="230">
        <f t="shared" ca="1" si="230"/>
        <v>47.48518892974991</v>
      </c>
      <c r="P362" s="230">
        <f t="shared" ca="1" si="231"/>
        <v>47.48518892974991</v>
      </c>
      <c r="Q362" s="230">
        <v>0</v>
      </c>
      <c r="R362" s="230">
        <v>0</v>
      </c>
      <c r="S362" s="230">
        <v>0</v>
      </c>
      <c r="T362" s="230">
        <f t="shared" si="233"/>
        <v>0</v>
      </c>
      <c r="U362" s="230">
        <f t="shared" si="234"/>
        <v>0</v>
      </c>
    </row>
    <row r="363" spans="1:21" ht="18.75" x14ac:dyDescent="0.25">
      <c r="A363" s="126"/>
      <c r="B363" s="187"/>
      <c r="C363" s="187"/>
      <c r="D363" s="38" t="s">
        <v>23</v>
      </c>
      <c r="E363" s="187"/>
      <c r="F363" s="187"/>
      <c r="G363" s="39"/>
      <c r="H363" s="135" t="s">
        <v>14</v>
      </c>
      <c r="I363" s="133"/>
      <c r="J363" s="133"/>
      <c r="K363" s="134"/>
      <c r="L363" s="481">
        <f t="shared" ref="L363:N363" ca="1" si="239">L364+L365</f>
        <v>0</v>
      </c>
      <c r="M363" s="230">
        <f t="shared" ca="1" si="239"/>
        <v>0</v>
      </c>
      <c r="N363" s="230">
        <f t="shared" ca="1" si="239"/>
        <v>0</v>
      </c>
      <c r="O363" s="230">
        <f t="shared" ca="1" si="230"/>
        <v>0</v>
      </c>
      <c r="P363" s="230">
        <f t="shared" ca="1" si="231"/>
        <v>0</v>
      </c>
      <c r="Q363" s="230">
        <f t="shared" ref="Q363:S363" si="240">Q364+Q365</f>
        <v>0</v>
      </c>
      <c r="R363" s="230">
        <f t="shared" si="240"/>
        <v>0</v>
      </c>
      <c r="S363" s="230">
        <f t="shared" si="240"/>
        <v>0</v>
      </c>
      <c r="T363" s="230">
        <f t="shared" si="233"/>
        <v>0</v>
      </c>
      <c r="U363" s="230">
        <f t="shared" si="234"/>
        <v>0</v>
      </c>
    </row>
    <row r="364" spans="1:21" ht="18.75" hidden="1" x14ac:dyDescent="0.25">
      <c r="A364" s="126"/>
      <c r="B364" s="187"/>
      <c r="C364" s="187"/>
      <c r="D364" s="187"/>
      <c r="E364" s="154" t="s">
        <v>20</v>
      </c>
      <c r="F364" s="187"/>
      <c r="G364" s="39"/>
      <c r="H364" s="157" t="s">
        <v>14</v>
      </c>
      <c r="I364" s="133"/>
      <c r="J364" s="133"/>
      <c r="K364" s="134"/>
      <c r="L364" s="483">
        <v>0</v>
      </c>
      <c r="M364" s="80">
        <v>0</v>
      </c>
      <c r="N364" s="80">
        <v>0</v>
      </c>
      <c r="O364" s="80">
        <f t="shared" si="230"/>
        <v>0</v>
      </c>
      <c r="P364" s="80">
        <f t="shared" si="231"/>
        <v>0</v>
      </c>
      <c r="Q364" s="80">
        <v>0</v>
      </c>
      <c r="R364" s="80">
        <v>0</v>
      </c>
      <c r="S364" s="80">
        <v>0</v>
      </c>
      <c r="T364" s="80">
        <f t="shared" si="233"/>
        <v>0</v>
      </c>
      <c r="U364" s="80">
        <f t="shared" si="234"/>
        <v>0</v>
      </c>
    </row>
    <row r="365" spans="1:21" ht="18.75" hidden="1" x14ac:dyDescent="0.25">
      <c r="A365" s="126"/>
      <c r="B365" s="187"/>
      <c r="C365" s="187"/>
      <c r="D365" s="187"/>
      <c r="E365" s="254" t="s">
        <v>21</v>
      </c>
      <c r="F365" s="187"/>
      <c r="G365" s="39"/>
      <c r="H365" s="135" t="s">
        <v>14</v>
      </c>
      <c r="I365" s="133"/>
      <c r="J365" s="133"/>
      <c r="K365" s="134"/>
      <c r="L365" s="481">
        <f ca="1">IFERROR(__xludf.DUMMYFUNCTION("IMPORTRANGE(""https://docs.google.com/spreadsheets/d/1-uDff_7J0KD5mKrp0Vvzr7lt3OU09vwQwhkpOPPYv2Y/edit?usp=sharing"",""งบพรบ!FF21"")"),0)</f>
        <v>0</v>
      </c>
      <c r="M365" s="230">
        <f ca="1">IFERROR(__xludf.DUMMYFUNCTION("IMPORTRANGE(""https://docs.google.com/spreadsheets/d/1-uDff_7J0KD5mKrp0Vvzr7lt3OU09vwQwhkpOPPYv2Y/edit?usp=sharing"",""งบพรบ!FI21"")"),0)</f>
        <v>0</v>
      </c>
      <c r="N365" s="230">
        <f ca="1">IFERROR(__xludf.DUMMYFUNCTION("IMPORTRANGE(""https://docs.google.com/spreadsheets/d/1-uDff_7J0KD5mKrp0Vvzr7lt3OU09vwQwhkpOPPYv2Y/edit?usp=sharing"",""งบพรบ!FK21"")"),0)</f>
        <v>0</v>
      </c>
      <c r="O365" s="230">
        <f t="shared" ca="1" si="230"/>
        <v>0</v>
      </c>
      <c r="P365" s="230">
        <f t="shared" ca="1" si="231"/>
        <v>0</v>
      </c>
      <c r="Q365" s="230">
        <v>0</v>
      </c>
      <c r="R365" s="230">
        <v>0</v>
      </c>
      <c r="S365" s="230">
        <v>0</v>
      </c>
      <c r="T365" s="230">
        <f t="shared" si="233"/>
        <v>0</v>
      </c>
      <c r="U365" s="230">
        <f t="shared" si="234"/>
        <v>0</v>
      </c>
    </row>
    <row r="366" spans="1:21" ht="19.5" x14ac:dyDescent="0.3">
      <c r="A366" s="217"/>
      <c r="B366" s="218"/>
      <c r="C366" s="220"/>
      <c r="D366" s="645" t="s">
        <v>149</v>
      </c>
      <c r="E366" s="220"/>
      <c r="F366" s="220"/>
      <c r="G366" s="221"/>
      <c r="H366" s="318" t="s">
        <v>35</v>
      </c>
      <c r="I366" s="313">
        <f t="shared" ref="I366:J366" ca="1" si="241">I372</f>
        <v>100</v>
      </c>
      <c r="J366" s="313">
        <f t="shared" ca="1" si="241"/>
        <v>138</v>
      </c>
      <c r="K366" s="314">
        <f ca="1">IF(I366&gt;0,J366*100/I366,0)</f>
        <v>138</v>
      </c>
      <c r="L366" s="538"/>
      <c r="M366" s="225"/>
      <c r="N366" s="225"/>
      <c r="O366" s="225"/>
      <c r="P366" s="225"/>
      <c r="Q366" s="225"/>
      <c r="R366" s="225"/>
      <c r="S366" s="225"/>
      <c r="T366" s="225"/>
      <c r="U366" s="225"/>
    </row>
    <row r="367" spans="1:21" ht="19.5" x14ac:dyDescent="0.3">
      <c r="A367" s="136"/>
      <c r="B367" s="137"/>
      <c r="C367" s="186" t="s">
        <v>18</v>
      </c>
      <c r="D367" s="516" t="s">
        <v>38</v>
      </c>
      <c r="E367" s="139"/>
      <c r="F367" s="139"/>
      <c r="G367" s="140"/>
      <c r="H367" s="141"/>
      <c r="I367" s="41"/>
      <c r="J367" s="41"/>
      <c r="K367" s="42"/>
      <c r="L367" s="517"/>
      <c r="M367" s="134"/>
      <c r="N367" s="134"/>
      <c r="O367" s="134"/>
      <c r="P367" s="134"/>
      <c r="Q367" s="134"/>
      <c r="R367" s="134"/>
      <c r="S367" s="134"/>
      <c r="T367" s="134"/>
      <c r="U367" s="134"/>
    </row>
    <row r="368" spans="1:21" ht="18.75" x14ac:dyDescent="0.25">
      <c r="A368" s="136"/>
      <c r="B368" s="167"/>
      <c r="C368" s="137"/>
      <c r="D368" s="167"/>
      <c r="E368" s="319" t="s">
        <v>150</v>
      </c>
      <c r="F368" s="167"/>
      <c r="G368" s="141"/>
      <c r="H368" s="151" t="s">
        <v>35</v>
      </c>
      <c r="I368" s="189">
        <v>0</v>
      </c>
      <c r="J368" s="189">
        <f ca="1">IFERROR(__xludf.DUMMYFUNCTION("IMPORTRANGE(""https://docs.google.com/spreadsheets/d/1tdoBKaGub7dwA3U6UFTqxio9LNnvDCQjHKmttSEBsFQ/edit?usp=sharing"",""จัดที่ดิน!AB21"")"),83)</f>
        <v>83</v>
      </c>
      <c r="K368" s="230">
        <f t="shared" ref="K368:K373" si="242">IF(I368&gt;0,J368*100/I368,0)</f>
        <v>0</v>
      </c>
      <c r="L368" s="517"/>
      <c r="M368" s="134"/>
      <c r="N368" s="134"/>
      <c r="O368" s="134"/>
      <c r="P368" s="134"/>
      <c r="Q368" s="134"/>
      <c r="R368" s="134"/>
      <c r="S368" s="134"/>
      <c r="T368" s="134"/>
      <c r="U368" s="134"/>
    </row>
    <row r="369" spans="1:21" ht="18.75" x14ac:dyDescent="0.25">
      <c r="A369" s="136"/>
      <c r="B369" s="167"/>
      <c r="C369" s="137"/>
      <c r="D369" s="167"/>
      <c r="E369" s="167"/>
      <c r="F369" s="167"/>
      <c r="G369" s="141"/>
      <c r="H369" s="151" t="s">
        <v>46</v>
      </c>
      <c r="I369" s="189">
        <f ca="1">IFERROR(__xludf.DUMMYFUNCTION("IMPORTRANGE(""https://docs.google.com/spreadsheets/d/1eHaY18a8A9IcSdp1K8H6x8fbOy06t2VsZHhMHf-1x7Y/edit?usp=sharing"",""แผน!EW21"")"),775)</f>
        <v>775</v>
      </c>
      <c r="J369" s="646">
        <f ca="1">IFERROR(__xludf.DUMMYFUNCTION("IMPORTRANGE(""https://docs.google.com/spreadsheets/d/1tdoBKaGub7dwA3U6UFTqxio9LNnvDCQjHKmttSEBsFQ/edit?usp=sharing"",""จัดที่ดิน!AC21"")"),699.21)</f>
        <v>699.21</v>
      </c>
      <c r="K369" s="230">
        <f t="shared" ca="1" si="242"/>
        <v>90.220645161290321</v>
      </c>
      <c r="L369" s="517"/>
      <c r="M369" s="134"/>
      <c r="N369" s="134"/>
      <c r="O369" s="134"/>
      <c r="P369" s="134"/>
      <c r="Q369" s="134"/>
      <c r="R369" s="134"/>
      <c r="S369" s="134"/>
      <c r="T369" s="134"/>
      <c r="U369" s="134"/>
    </row>
    <row r="370" spans="1:21" ht="18.75" x14ac:dyDescent="0.25">
      <c r="A370" s="136"/>
      <c r="B370" s="167"/>
      <c r="C370" s="137"/>
      <c r="D370" s="167"/>
      <c r="E370" s="319" t="s">
        <v>151</v>
      </c>
      <c r="F370" s="167"/>
      <c r="G370" s="141"/>
      <c r="H370" s="232" t="s">
        <v>35</v>
      </c>
      <c r="I370" s="189">
        <f ca="1">IFERROR(__xludf.DUMMYFUNCTION("IMPORTRANGE(""https://docs.google.com/spreadsheets/d/1eHaY18a8A9IcSdp1K8H6x8fbOy06t2VsZHhMHf-1x7Y/edit?usp=sharing"",""แผน!EX21"")"),152)</f>
        <v>152</v>
      </c>
      <c r="J370" s="189">
        <f ca="1">IFERROR(__xludf.DUMMYFUNCTION("IMPORTRANGE(""https://docs.google.com/spreadsheets/d/1tdoBKaGub7dwA3U6UFTqxio9LNnvDCQjHKmttSEBsFQ/edit?usp=sharing"",""จัดที่ดิน!AD21"")"),214)</f>
        <v>214</v>
      </c>
      <c r="K370" s="230">
        <f t="shared" ca="1" si="242"/>
        <v>140.78947368421052</v>
      </c>
      <c r="L370" s="517"/>
      <c r="M370" s="134"/>
      <c r="N370" s="134"/>
      <c r="O370" s="134"/>
      <c r="P370" s="134"/>
      <c r="Q370" s="134"/>
      <c r="R370" s="134"/>
      <c r="S370" s="134"/>
      <c r="T370" s="134"/>
      <c r="U370" s="134"/>
    </row>
    <row r="371" spans="1:21" ht="18.75" x14ac:dyDescent="0.25">
      <c r="A371" s="136"/>
      <c r="B371" s="167"/>
      <c r="C371" s="137"/>
      <c r="D371" s="167"/>
      <c r="E371" s="167"/>
      <c r="F371" s="167"/>
      <c r="G371" s="141"/>
      <c r="H371" s="232" t="s">
        <v>46</v>
      </c>
      <c r="I371" s="189">
        <v>0</v>
      </c>
      <c r="J371" s="646">
        <f ca="1">IFERROR(__xludf.DUMMYFUNCTION("IMPORTRANGE(""https://docs.google.com/spreadsheets/d/1tdoBKaGub7dwA3U6UFTqxio9LNnvDCQjHKmttSEBsFQ/edit?usp=sharing"",""จัดที่ดิน!AE21"")"),3159.13)</f>
        <v>3159.13</v>
      </c>
      <c r="K371" s="230">
        <f t="shared" si="242"/>
        <v>0</v>
      </c>
      <c r="L371" s="517"/>
      <c r="M371" s="134"/>
      <c r="N371" s="134"/>
      <c r="O371" s="134"/>
      <c r="P371" s="134"/>
      <c r="Q371" s="134"/>
      <c r="R371" s="134"/>
      <c r="S371" s="134"/>
      <c r="T371" s="134"/>
      <c r="U371" s="134"/>
    </row>
    <row r="372" spans="1:21" ht="18.75" x14ac:dyDescent="0.25">
      <c r="A372" s="136"/>
      <c r="B372" s="167"/>
      <c r="C372" s="137"/>
      <c r="D372" s="167"/>
      <c r="E372" s="319" t="s">
        <v>152</v>
      </c>
      <c r="F372" s="167"/>
      <c r="G372" s="141"/>
      <c r="H372" s="232" t="s">
        <v>35</v>
      </c>
      <c r="I372" s="189">
        <f ca="1">IFERROR(__xludf.DUMMYFUNCTION("IMPORTRANGE(""https://docs.google.com/spreadsheets/d/1eHaY18a8A9IcSdp1K8H6x8fbOy06t2VsZHhMHf-1x7Y/edit?usp=sharing"",""แผน!EY21"")"),100)</f>
        <v>100</v>
      </c>
      <c r="J372" s="189">
        <f ca="1">IFERROR(__xludf.DUMMYFUNCTION("IMPORTRANGE(""https://docs.google.com/spreadsheets/d/1tdoBKaGub7dwA3U6UFTqxio9LNnvDCQjHKmttSEBsFQ/edit?usp=sharing"",""จัดที่ดิน!AF21"")"),138)</f>
        <v>138</v>
      </c>
      <c r="K372" s="230">
        <f t="shared" ca="1" si="242"/>
        <v>138</v>
      </c>
      <c r="L372" s="517"/>
      <c r="M372" s="134"/>
      <c r="N372" s="134"/>
      <c r="O372" s="134"/>
      <c r="P372" s="134"/>
      <c r="Q372" s="134"/>
      <c r="R372" s="134"/>
      <c r="S372" s="134"/>
      <c r="T372" s="134"/>
      <c r="U372" s="134"/>
    </row>
    <row r="373" spans="1:21" ht="18.75" x14ac:dyDescent="0.25">
      <c r="A373" s="136"/>
      <c r="B373" s="167"/>
      <c r="C373" s="137"/>
      <c r="D373" s="167"/>
      <c r="E373" s="167"/>
      <c r="F373" s="167"/>
      <c r="G373" s="141"/>
      <c r="H373" s="232" t="s">
        <v>46</v>
      </c>
      <c r="I373" s="189">
        <v>0</v>
      </c>
      <c r="J373" s="646">
        <f ca="1">IFERROR(__xludf.DUMMYFUNCTION("IMPORTRANGE(""https://docs.google.com/spreadsheets/d/1tdoBKaGub7dwA3U6UFTqxio9LNnvDCQjHKmttSEBsFQ/edit?usp=sharing"",""จัดที่ดิน!AG21"")"),2517.77)</f>
        <v>2517.77</v>
      </c>
      <c r="K373" s="230">
        <f t="shared" si="242"/>
        <v>0</v>
      </c>
      <c r="L373" s="517"/>
      <c r="M373" s="134"/>
      <c r="N373" s="134"/>
      <c r="O373" s="134"/>
      <c r="P373" s="134"/>
      <c r="Q373" s="134"/>
      <c r="R373" s="134"/>
      <c r="S373" s="134"/>
      <c r="T373" s="134"/>
      <c r="U373" s="134"/>
    </row>
    <row r="374" spans="1:21" ht="16.5" x14ac:dyDescent="0.25">
      <c r="A374" s="6"/>
      <c r="B374" s="5"/>
      <c r="C374" s="6"/>
      <c r="D374" s="320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"/>
      <c r="F374" s="5"/>
      <c r="G374" s="49"/>
      <c r="H374" s="49"/>
      <c r="I374" s="51"/>
      <c r="J374" s="51"/>
      <c r="K374" s="7"/>
      <c r="L374" s="485"/>
      <c r="M374" s="7"/>
      <c r="N374" s="7"/>
      <c r="O374" s="7"/>
      <c r="P374" s="7"/>
      <c r="Q374" s="7"/>
      <c r="R374" s="7"/>
      <c r="S374" s="7"/>
      <c r="T374" s="7"/>
      <c r="U374" s="7"/>
    </row>
    <row r="375" spans="1:21" ht="19.5" x14ac:dyDescent="0.3">
      <c r="A375" s="647"/>
      <c r="B375" s="648" t="s">
        <v>153</v>
      </c>
      <c r="C375" s="649"/>
      <c r="D375" s="650"/>
      <c r="E375" s="651"/>
      <c r="F375" s="651"/>
      <c r="G375" s="652"/>
      <c r="H375" s="653" t="s">
        <v>46</v>
      </c>
      <c r="I375" s="654">
        <f t="shared" ref="I375:J375" ca="1" si="243">I387+I389</f>
        <v>3000</v>
      </c>
      <c r="J375" s="654">
        <f t="shared" ca="1" si="243"/>
        <v>0</v>
      </c>
      <c r="K375" s="655">
        <f ca="1">IF(I375&gt;0,J375*100/I375,0)</f>
        <v>0</v>
      </c>
      <c r="L375" s="625"/>
      <c r="M375" s="307"/>
      <c r="N375" s="307"/>
      <c r="O375" s="307"/>
      <c r="P375" s="307"/>
      <c r="Q375" s="307"/>
      <c r="R375" s="307"/>
      <c r="S375" s="307"/>
      <c r="T375" s="307"/>
      <c r="U375" s="307"/>
    </row>
    <row r="376" spans="1:21" ht="19.5" x14ac:dyDescent="0.3">
      <c r="A376" s="126"/>
      <c r="B376" s="156"/>
      <c r="C376" s="336" t="s">
        <v>18</v>
      </c>
      <c r="D376" s="656" t="s">
        <v>19</v>
      </c>
      <c r="E376" s="187"/>
      <c r="F376" s="187"/>
      <c r="G376" s="39"/>
      <c r="H376" s="129" t="s">
        <v>14</v>
      </c>
      <c r="I376" s="41"/>
      <c r="J376" s="41"/>
      <c r="K376" s="42"/>
      <c r="L376" s="514">
        <f t="shared" ref="L376:N376" si="244">L377+L378</f>
        <v>0</v>
      </c>
      <c r="M376" s="515">
        <f t="shared" si="244"/>
        <v>0</v>
      </c>
      <c r="N376" s="515">
        <f t="shared" si="244"/>
        <v>0</v>
      </c>
      <c r="O376" s="515">
        <f t="shared" ref="O376:O384" si="245">IF(L376&gt;0,N376*100/L376,0)</f>
        <v>0</v>
      </c>
      <c r="P376" s="515">
        <f t="shared" ref="P376:P384" si="246">IF(M376&gt;0,N376*100/M376,0)</f>
        <v>0</v>
      </c>
      <c r="Q376" s="515">
        <f t="shared" ref="Q376:S376" ca="1" si="247">Q377+Q378</f>
        <v>187500</v>
      </c>
      <c r="R376" s="515">
        <f t="shared" ca="1" si="247"/>
        <v>0</v>
      </c>
      <c r="S376" s="515">
        <f t="shared" ca="1" si="247"/>
        <v>0</v>
      </c>
      <c r="T376" s="515">
        <f t="shared" ref="T376:T384" ca="1" si="248">IF(Q376&gt;0,S376*100/Q376,0)</f>
        <v>0</v>
      </c>
      <c r="U376" s="515">
        <f t="shared" ref="U376:U384" ca="1" si="249">IF(R376&gt;0,S376*100/R376,0)</f>
        <v>0</v>
      </c>
    </row>
    <row r="377" spans="1:21" ht="18.75" hidden="1" x14ac:dyDescent="0.25">
      <c r="A377" s="126"/>
      <c r="B377" s="156"/>
      <c r="C377" s="156"/>
      <c r="D377" s="156"/>
      <c r="E377" s="154" t="s">
        <v>20</v>
      </c>
      <c r="F377" s="187"/>
      <c r="G377" s="39"/>
      <c r="H377" s="155" t="s">
        <v>14</v>
      </c>
      <c r="I377" s="41"/>
      <c r="J377" s="41"/>
      <c r="K377" s="42"/>
      <c r="L377" s="483">
        <f t="shared" ref="L377:N378" si="250">L380+L383</f>
        <v>0</v>
      </c>
      <c r="M377" s="80">
        <f t="shared" si="250"/>
        <v>0</v>
      </c>
      <c r="N377" s="80">
        <f t="shared" si="250"/>
        <v>0</v>
      </c>
      <c r="O377" s="80">
        <f t="shared" si="245"/>
        <v>0</v>
      </c>
      <c r="P377" s="80">
        <f t="shared" si="246"/>
        <v>0</v>
      </c>
      <c r="Q377" s="80">
        <f t="shared" ref="Q377:S378" si="251">Q380+Q383</f>
        <v>0</v>
      </c>
      <c r="R377" s="80">
        <f t="shared" si="251"/>
        <v>0</v>
      </c>
      <c r="S377" s="80">
        <f t="shared" si="251"/>
        <v>0</v>
      </c>
      <c r="T377" s="80">
        <f t="shared" si="248"/>
        <v>0</v>
      </c>
      <c r="U377" s="80">
        <f t="shared" si="249"/>
        <v>0</v>
      </c>
    </row>
    <row r="378" spans="1:21" ht="18.75" hidden="1" x14ac:dyDescent="0.25">
      <c r="A378" s="126"/>
      <c r="B378" s="156"/>
      <c r="C378" s="156"/>
      <c r="D378" s="156"/>
      <c r="E378" s="254" t="s">
        <v>21</v>
      </c>
      <c r="F378" s="187"/>
      <c r="G378" s="39"/>
      <c r="H378" s="131" t="s">
        <v>14</v>
      </c>
      <c r="I378" s="41"/>
      <c r="J378" s="41"/>
      <c r="K378" s="42"/>
      <c r="L378" s="481">
        <f t="shared" si="250"/>
        <v>0</v>
      </c>
      <c r="M378" s="230">
        <f t="shared" si="250"/>
        <v>0</v>
      </c>
      <c r="N378" s="230">
        <f t="shared" si="250"/>
        <v>0</v>
      </c>
      <c r="O378" s="230">
        <f t="shared" si="245"/>
        <v>0</v>
      </c>
      <c r="P378" s="230">
        <f t="shared" si="246"/>
        <v>0</v>
      </c>
      <c r="Q378" s="230">
        <f t="shared" ca="1" si="251"/>
        <v>187500</v>
      </c>
      <c r="R378" s="230">
        <f t="shared" ca="1" si="251"/>
        <v>0</v>
      </c>
      <c r="S378" s="230">
        <f t="shared" ca="1" si="251"/>
        <v>0</v>
      </c>
      <c r="T378" s="230">
        <f t="shared" ca="1" si="248"/>
        <v>0</v>
      </c>
      <c r="U378" s="230">
        <f t="shared" ca="1" si="249"/>
        <v>0</v>
      </c>
    </row>
    <row r="379" spans="1:21" ht="18.75" x14ac:dyDescent="0.25">
      <c r="A379" s="126"/>
      <c r="B379" s="156"/>
      <c r="C379" s="156"/>
      <c r="D379" s="528" t="s">
        <v>22</v>
      </c>
      <c r="E379" s="187"/>
      <c r="F379" s="187"/>
      <c r="G379" s="39"/>
      <c r="H379" s="132" t="s">
        <v>14</v>
      </c>
      <c r="I379" s="133"/>
      <c r="J379" s="133"/>
      <c r="K379" s="134"/>
      <c r="L379" s="481">
        <f t="shared" ref="L379:N379" si="252">L380+L381</f>
        <v>0</v>
      </c>
      <c r="M379" s="230">
        <f t="shared" si="252"/>
        <v>0</v>
      </c>
      <c r="N379" s="230">
        <f t="shared" si="252"/>
        <v>0</v>
      </c>
      <c r="O379" s="230">
        <f t="shared" si="245"/>
        <v>0</v>
      </c>
      <c r="P379" s="230">
        <f t="shared" si="246"/>
        <v>0</v>
      </c>
      <c r="Q379" s="230">
        <f t="shared" ref="Q379:S379" ca="1" si="253">Q380+Q381</f>
        <v>187500</v>
      </c>
      <c r="R379" s="230">
        <f t="shared" ca="1" si="253"/>
        <v>0</v>
      </c>
      <c r="S379" s="230">
        <f t="shared" ca="1" si="253"/>
        <v>0</v>
      </c>
      <c r="T379" s="230">
        <f t="shared" ca="1" si="248"/>
        <v>0</v>
      </c>
      <c r="U379" s="230">
        <f t="shared" ca="1" si="249"/>
        <v>0</v>
      </c>
    </row>
    <row r="380" spans="1:21" ht="18.75" hidden="1" x14ac:dyDescent="0.25">
      <c r="A380" s="126"/>
      <c r="B380" s="156"/>
      <c r="C380" s="156"/>
      <c r="D380" s="156"/>
      <c r="E380" s="154" t="s">
        <v>36</v>
      </c>
      <c r="F380" s="187"/>
      <c r="G380" s="39"/>
      <c r="H380" s="157" t="s">
        <v>14</v>
      </c>
      <c r="I380" s="133"/>
      <c r="J380" s="133"/>
      <c r="K380" s="134"/>
      <c r="L380" s="483">
        <v>0</v>
      </c>
      <c r="M380" s="80">
        <v>0</v>
      </c>
      <c r="N380" s="80">
        <v>0</v>
      </c>
      <c r="O380" s="80">
        <f t="shared" si="245"/>
        <v>0</v>
      </c>
      <c r="P380" s="80">
        <f t="shared" si="246"/>
        <v>0</v>
      </c>
      <c r="Q380" s="80">
        <v>0</v>
      </c>
      <c r="R380" s="80">
        <v>0</v>
      </c>
      <c r="S380" s="80">
        <v>0</v>
      </c>
      <c r="T380" s="80">
        <f t="shared" si="248"/>
        <v>0</v>
      </c>
      <c r="U380" s="80">
        <f t="shared" si="249"/>
        <v>0</v>
      </c>
    </row>
    <row r="381" spans="1:21" ht="18.75" hidden="1" x14ac:dyDescent="0.25">
      <c r="A381" s="126"/>
      <c r="B381" s="156"/>
      <c r="C381" s="156"/>
      <c r="D381" s="156"/>
      <c r="E381" s="426" t="s">
        <v>37</v>
      </c>
      <c r="F381" s="156"/>
      <c r="G381" s="181"/>
      <c r="H381" s="132" t="s">
        <v>14</v>
      </c>
      <c r="I381" s="133"/>
      <c r="J381" s="133"/>
      <c r="K381" s="134"/>
      <c r="L381" s="481">
        <v>0</v>
      </c>
      <c r="M381" s="230">
        <v>0</v>
      </c>
      <c r="N381" s="230">
        <v>0</v>
      </c>
      <c r="O381" s="230">
        <f t="shared" si="245"/>
        <v>0</v>
      </c>
      <c r="P381" s="230">
        <f t="shared" si="246"/>
        <v>0</v>
      </c>
      <c r="Q381" s="230">
        <f ca="1">IFERROR(__xludf.DUMMYFUNCTION("IMPORTRANGE(""https://docs.google.com/spreadsheets/d/1ItG2mGa2ceCfYo0BwxsXqNm01IGEUdYcSSLTEv9YCik/edit?usp=sharing"",""เบิกจ่ายกองทุน!AY21"")"),187500)</f>
        <v>187500</v>
      </c>
      <c r="R381" s="230">
        <f ca="1">IFERROR(__xludf.DUMMYFUNCTION("IMPORTRANGE(""https://docs.google.com/spreadsheets/d/1ItG2mGa2ceCfYo0BwxsXqNm01IGEUdYcSSLTEv9YCik/edit?usp=sharing"",""เบิกจ่ายกองทุน!AZ21"")"),0)</f>
        <v>0</v>
      </c>
      <c r="S381" s="230">
        <f ca="1">IFERROR(__xludf.DUMMYFUNCTION("IMPORTRANGE(""https://docs.google.com/spreadsheets/d/1ItG2mGa2ceCfYo0BwxsXqNm01IGEUdYcSSLTEv9YCik/edit?usp=sharing"",""เบิกจ่ายกองทุน!BA21"")"),0)</f>
        <v>0</v>
      </c>
      <c r="T381" s="230">
        <f t="shared" ca="1" si="248"/>
        <v>0</v>
      </c>
      <c r="U381" s="230">
        <f t="shared" ca="1" si="249"/>
        <v>0</v>
      </c>
    </row>
    <row r="382" spans="1:21" ht="18.75" x14ac:dyDescent="0.25">
      <c r="A382" s="126"/>
      <c r="B382" s="156"/>
      <c r="C382" s="156"/>
      <c r="D382" s="528" t="s">
        <v>23</v>
      </c>
      <c r="E382" s="187"/>
      <c r="F382" s="187"/>
      <c r="G382" s="39"/>
      <c r="H382" s="135" t="s">
        <v>14</v>
      </c>
      <c r="I382" s="133"/>
      <c r="J382" s="133"/>
      <c r="K382" s="134"/>
      <c r="L382" s="481">
        <f t="shared" ref="L382:N382" si="254">L383+L384</f>
        <v>0</v>
      </c>
      <c r="M382" s="230">
        <f t="shared" si="254"/>
        <v>0</v>
      </c>
      <c r="N382" s="230">
        <f t="shared" si="254"/>
        <v>0</v>
      </c>
      <c r="O382" s="230">
        <f t="shared" si="245"/>
        <v>0</v>
      </c>
      <c r="P382" s="230">
        <f t="shared" si="246"/>
        <v>0</v>
      </c>
      <c r="Q382" s="230">
        <f t="shared" ref="Q382:S382" si="255">Q383+Q384</f>
        <v>0</v>
      </c>
      <c r="R382" s="230">
        <f t="shared" si="255"/>
        <v>0</v>
      </c>
      <c r="S382" s="230">
        <f t="shared" si="255"/>
        <v>0</v>
      </c>
      <c r="T382" s="230">
        <f t="shared" si="248"/>
        <v>0</v>
      </c>
      <c r="U382" s="230">
        <f t="shared" si="249"/>
        <v>0</v>
      </c>
    </row>
    <row r="383" spans="1:21" ht="18.75" hidden="1" x14ac:dyDescent="0.25">
      <c r="A383" s="126"/>
      <c r="B383" s="156"/>
      <c r="C383" s="156"/>
      <c r="D383" s="156"/>
      <c r="E383" s="154" t="s">
        <v>20</v>
      </c>
      <c r="F383" s="187"/>
      <c r="G383" s="39"/>
      <c r="H383" s="157" t="s">
        <v>14</v>
      </c>
      <c r="I383" s="133"/>
      <c r="J383" s="133"/>
      <c r="K383" s="134"/>
      <c r="L383" s="483">
        <v>0</v>
      </c>
      <c r="M383" s="80">
        <v>0</v>
      </c>
      <c r="N383" s="80">
        <v>0</v>
      </c>
      <c r="O383" s="80">
        <f t="shared" si="245"/>
        <v>0</v>
      </c>
      <c r="P383" s="80">
        <f t="shared" si="246"/>
        <v>0</v>
      </c>
      <c r="Q383" s="80">
        <v>0</v>
      </c>
      <c r="R383" s="80">
        <v>0</v>
      </c>
      <c r="S383" s="80">
        <v>0</v>
      </c>
      <c r="T383" s="80">
        <f t="shared" si="248"/>
        <v>0</v>
      </c>
      <c r="U383" s="80">
        <f t="shared" si="249"/>
        <v>0</v>
      </c>
    </row>
    <row r="384" spans="1:21" ht="18.75" hidden="1" x14ac:dyDescent="0.25">
      <c r="A384" s="126"/>
      <c r="B384" s="156"/>
      <c r="C384" s="156"/>
      <c r="D384" s="156"/>
      <c r="E384" s="254" t="s">
        <v>21</v>
      </c>
      <c r="F384" s="187"/>
      <c r="G384" s="39"/>
      <c r="H384" s="135" t="s">
        <v>14</v>
      </c>
      <c r="I384" s="133"/>
      <c r="J384" s="133"/>
      <c r="K384" s="134"/>
      <c r="L384" s="481">
        <v>0</v>
      </c>
      <c r="M384" s="230">
        <v>0</v>
      </c>
      <c r="N384" s="230">
        <v>0</v>
      </c>
      <c r="O384" s="230">
        <f t="shared" si="245"/>
        <v>0</v>
      </c>
      <c r="P384" s="230">
        <f t="shared" si="246"/>
        <v>0</v>
      </c>
      <c r="Q384" s="230">
        <v>0</v>
      </c>
      <c r="R384" s="230">
        <v>0</v>
      </c>
      <c r="S384" s="230">
        <v>0</v>
      </c>
      <c r="T384" s="230">
        <f t="shared" si="248"/>
        <v>0</v>
      </c>
      <c r="U384" s="230">
        <f t="shared" si="249"/>
        <v>0</v>
      </c>
    </row>
    <row r="385" spans="1:21" ht="19.5" x14ac:dyDescent="0.3">
      <c r="A385" s="136"/>
      <c r="B385" s="137"/>
      <c r="C385" s="336" t="s">
        <v>18</v>
      </c>
      <c r="D385" s="657" t="s">
        <v>38</v>
      </c>
      <c r="E385" s="139"/>
      <c r="F385" s="139"/>
      <c r="G385" s="140"/>
      <c r="H385" s="179"/>
      <c r="I385" s="133"/>
      <c r="J385" s="41"/>
      <c r="K385" s="42"/>
      <c r="L385" s="484"/>
      <c r="M385" s="42"/>
      <c r="N385" s="42"/>
      <c r="O385" s="134"/>
      <c r="P385" s="134"/>
      <c r="Q385" s="42"/>
      <c r="R385" s="42"/>
      <c r="S385" s="42"/>
      <c r="T385" s="134"/>
      <c r="U385" s="134"/>
    </row>
    <row r="386" spans="1:21" ht="18.75" x14ac:dyDescent="0.25">
      <c r="A386" s="214"/>
      <c r="B386" s="156"/>
      <c r="C386" s="156"/>
      <c r="D386" s="156"/>
      <c r="E386" s="254" t="s">
        <v>154</v>
      </c>
      <c r="F386" s="187"/>
      <c r="G386" s="39"/>
      <c r="H386" s="131" t="s">
        <v>34</v>
      </c>
      <c r="I386" s="189">
        <v>0</v>
      </c>
      <c r="J386" s="189">
        <f ca="1">IFERROR(__xludf.DUMMYFUNCTION("IMPORTRANGE(""https://docs.google.com/spreadsheets/d/1w5rwWK1o49a35cNtocGL0gxDwhFSTZUQu90BiH9_zqM/edit?usp=sharing"",""RTK!H21"")"),0)</f>
        <v>0</v>
      </c>
      <c r="K386" s="230">
        <f t="shared" ref="K386:K389" si="256">IF(I386&gt;0,J386*100/I386,0)</f>
        <v>0</v>
      </c>
      <c r="L386" s="484"/>
      <c r="M386" s="42"/>
      <c r="N386" s="42"/>
      <c r="O386" s="42"/>
      <c r="P386" s="42"/>
      <c r="Q386" s="42"/>
      <c r="R386" s="42"/>
      <c r="S386" s="42"/>
      <c r="T386" s="42"/>
      <c r="U386" s="42"/>
    </row>
    <row r="387" spans="1:21" ht="18.75" x14ac:dyDescent="0.25">
      <c r="A387" s="156"/>
      <c r="B387" s="156"/>
      <c r="C387" s="156"/>
      <c r="D387" s="156"/>
      <c r="E387" s="156"/>
      <c r="F387" s="156"/>
      <c r="G387" s="181"/>
      <c r="H387" s="131" t="s">
        <v>46</v>
      </c>
      <c r="I387" s="189">
        <f ca="1">IFERROR(__xludf.DUMMYFUNCTION("IMPORTRANGE(""https://docs.google.com/spreadsheets/d/1w5rwWK1o49a35cNtocGL0gxDwhFSTZUQu90BiH9_zqM/edit?usp=sharing"",""RTK!G21"")"),3000)</f>
        <v>3000</v>
      </c>
      <c r="J387" s="189">
        <f ca="1">IFERROR(__xludf.DUMMYFUNCTION("IMPORTRANGE(""https://docs.google.com/spreadsheets/d/1w5rwWK1o49a35cNtocGL0gxDwhFSTZUQu90BiH9_zqM/edit?usp=sharing"",""RTK!I21"")"),0)</f>
        <v>0</v>
      </c>
      <c r="K387" s="230">
        <f t="shared" ca="1" si="256"/>
        <v>0</v>
      </c>
      <c r="L387" s="484"/>
      <c r="M387" s="42"/>
      <c r="N387" s="42"/>
      <c r="O387" s="42"/>
      <c r="P387" s="42"/>
      <c r="Q387" s="42"/>
      <c r="R387" s="42"/>
      <c r="S387" s="42"/>
      <c r="T387" s="42"/>
      <c r="U387" s="42"/>
    </row>
    <row r="388" spans="1:21" ht="18.75" x14ac:dyDescent="0.25">
      <c r="A388" s="658"/>
      <c r="B388" s="658"/>
      <c r="C388" s="658"/>
      <c r="D388" s="658"/>
      <c r="E388" s="659" t="s">
        <v>155</v>
      </c>
      <c r="F388" s="658"/>
      <c r="G388" s="660"/>
      <c r="H388" s="590" t="s">
        <v>34</v>
      </c>
      <c r="I388" s="661">
        <v>0</v>
      </c>
      <c r="J388" s="661">
        <f ca="1">IFERROR(__xludf.DUMMYFUNCTION("IMPORTRANGE(""https://docs.google.com/spreadsheets/d/1w5rwWK1o49a35cNtocGL0gxDwhFSTZUQu90BiH9_zqM/edit?usp=sharing"",""RTK!L21"")"),0)</f>
        <v>0</v>
      </c>
      <c r="K388" s="592">
        <f t="shared" si="256"/>
        <v>0</v>
      </c>
      <c r="L388" s="706"/>
      <c r="M388" s="581"/>
      <c r="N388" s="581"/>
      <c r="O388" s="581"/>
      <c r="P388" s="581"/>
      <c r="Q388" s="581"/>
      <c r="R388" s="581"/>
      <c r="S388" s="581"/>
      <c r="T388" s="581"/>
      <c r="U388" s="581"/>
    </row>
    <row r="389" spans="1:21" ht="18.75" x14ac:dyDescent="0.25">
      <c r="A389" s="658"/>
      <c r="B389" s="658"/>
      <c r="C389" s="658"/>
      <c r="D389" s="658"/>
      <c r="E389" s="658"/>
      <c r="F389" s="658"/>
      <c r="G389" s="660"/>
      <c r="H389" s="590" t="s">
        <v>46</v>
      </c>
      <c r="I389" s="661">
        <f ca="1">IFERROR(__xludf.DUMMYFUNCTION("IMPORTRANGE(""https://docs.google.com/spreadsheets/d/1w5rwWK1o49a35cNtocGL0gxDwhFSTZUQu90BiH9_zqM/edit?usp=sharing"",""RTK!K21"")"),0)</f>
        <v>0</v>
      </c>
      <c r="J389" s="661">
        <f ca="1">IFERROR(__xludf.DUMMYFUNCTION("IMPORTRANGE(""https://docs.google.com/spreadsheets/d/1w5rwWK1o49a35cNtocGL0gxDwhFSTZUQu90BiH9_zqM/edit?usp=sharing"",""RTK!M21"")"),0)</f>
        <v>0</v>
      </c>
      <c r="K389" s="592">
        <f t="shared" ca="1" si="256"/>
        <v>0</v>
      </c>
      <c r="L389" s="706"/>
      <c r="M389" s="581"/>
      <c r="N389" s="581"/>
      <c r="O389" s="581"/>
      <c r="P389" s="581"/>
      <c r="Q389" s="581"/>
      <c r="R389" s="581"/>
      <c r="S389" s="581"/>
      <c r="T389" s="581"/>
      <c r="U389" s="581"/>
    </row>
    <row r="390" spans="1:21" ht="12.75" hidden="1" x14ac:dyDescent="0.2">
      <c r="A390" s="234"/>
      <c r="B390" s="234"/>
      <c r="C390" s="234"/>
      <c r="D390" s="234"/>
      <c r="E390" s="234"/>
      <c r="F390" s="234"/>
      <c r="G390" s="237"/>
      <c r="H390" s="237"/>
      <c r="I390" s="238"/>
      <c r="J390" s="238"/>
      <c r="K390" s="239"/>
      <c r="L390" s="662"/>
      <c r="M390" s="239"/>
      <c r="N390" s="239"/>
      <c r="O390" s="239"/>
      <c r="P390" s="239"/>
      <c r="Q390" s="239"/>
      <c r="R390" s="239"/>
      <c r="S390" s="239"/>
      <c r="T390" s="239"/>
      <c r="U390" s="239"/>
    </row>
    <row r="391" spans="1:21" ht="12.75" hidden="1" x14ac:dyDescent="0.2">
      <c r="A391" s="327"/>
      <c r="B391" s="327"/>
      <c r="C391" s="327"/>
      <c r="D391" s="327"/>
      <c r="E391" s="327"/>
      <c r="F391" s="327"/>
      <c r="G391" s="328"/>
      <c r="H391" s="328"/>
      <c r="I391" s="329"/>
      <c r="J391" s="329"/>
      <c r="K391" s="330"/>
      <c r="L391" s="663"/>
      <c r="M391" s="330"/>
      <c r="N391" s="330"/>
      <c r="O391" s="330"/>
      <c r="P391" s="330"/>
      <c r="Q391" s="330"/>
      <c r="R391" s="330"/>
      <c r="S391" s="330"/>
      <c r="T391" s="330"/>
      <c r="U391" s="330"/>
    </row>
    <row r="392" spans="1:21" ht="19.5" hidden="1" x14ac:dyDescent="0.3">
      <c r="A392" s="308"/>
      <c r="B392" s="321" t="s">
        <v>156</v>
      </c>
      <c r="C392" s="309"/>
      <c r="D392" s="310"/>
      <c r="E392" s="302"/>
      <c r="F392" s="302"/>
      <c r="G392" s="303"/>
      <c r="H392" s="322" t="s">
        <v>61</v>
      </c>
      <c r="I392" s="317">
        <f t="shared" ref="I392:J392" si="257">I403</f>
        <v>0</v>
      </c>
      <c r="J392" s="317">
        <f t="shared" si="257"/>
        <v>0</v>
      </c>
      <c r="K392" s="624">
        <f>IF(I392&gt;0,J392*100/I392,0)</f>
        <v>0</v>
      </c>
      <c r="L392" s="625"/>
      <c r="M392" s="307"/>
      <c r="N392" s="307"/>
      <c r="O392" s="307"/>
      <c r="P392" s="307"/>
      <c r="Q392" s="307"/>
      <c r="R392" s="307"/>
      <c r="S392" s="307"/>
      <c r="T392" s="307"/>
      <c r="U392" s="307"/>
    </row>
    <row r="393" spans="1:21" ht="19.5" hidden="1" x14ac:dyDescent="0.3">
      <c r="A393" s="126"/>
      <c r="B393" s="156"/>
      <c r="C393" s="336" t="s">
        <v>18</v>
      </c>
      <c r="D393" s="656" t="s">
        <v>19</v>
      </c>
      <c r="E393" s="187"/>
      <c r="F393" s="187"/>
      <c r="G393" s="39"/>
      <c r="H393" s="129" t="s">
        <v>14</v>
      </c>
      <c r="I393" s="41"/>
      <c r="J393" s="41"/>
      <c r="K393" s="42"/>
      <c r="L393" s="514">
        <f t="shared" ref="L393:N393" si="258">L394+L395</f>
        <v>0</v>
      </c>
      <c r="M393" s="515">
        <f t="shared" si="258"/>
        <v>0</v>
      </c>
      <c r="N393" s="515">
        <f t="shared" si="258"/>
        <v>0</v>
      </c>
      <c r="O393" s="515">
        <f t="shared" ref="O393:O401" si="259">IF(L393&gt;0,N393*100/L393,0)</f>
        <v>0</v>
      </c>
      <c r="P393" s="515">
        <f t="shared" ref="P393:P401" si="260">IF(M393&gt;0,N393*100/M393,0)</f>
        <v>0</v>
      </c>
      <c r="Q393" s="515">
        <f t="shared" ref="Q393:S393" si="261">Q394+Q395</f>
        <v>0</v>
      </c>
      <c r="R393" s="515">
        <f t="shared" si="261"/>
        <v>0</v>
      </c>
      <c r="S393" s="515">
        <f t="shared" si="261"/>
        <v>0</v>
      </c>
      <c r="T393" s="515">
        <f t="shared" ref="T393:T401" si="262">IF(Q393&gt;0,S393*100/Q393,0)</f>
        <v>0</v>
      </c>
      <c r="U393" s="515">
        <f t="shared" ref="U393:U401" si="263">IF(R393&gt;0,S393*100/R393,0)</f>
        <v>0</v>
      </c>
    </row>
    <row r="394" spans="1:21" ht="18.75" hidden="1" x14ac:dyDescent="0.25">
      <c r="A394" s="126"/>
      <c r="B394" s="156"/>
      <c r="C394" s="156"/>
      <c r="D394" s="156"/>
      <c r="E394" s="154" t="s">
        <v>20</v>
      </c>
      <c r="F394" s="187"/>
      <c r="G394" s="39"/>
      <c r="H394" s="155" t="s">
        <v>14</v>
      </c>
      <c r="I394" s="41"/>
      <c r="J394" s="41"/>
      <c r="K394" s="42"/>
      <c r="L394" s="483">
        <f t="shared" ref="L394:N395" si="264">L397+L400</f>
        <v>0</v>
      </c>
      <c r="M394" s="80">
        <f t="shared" si="264"/>
        <v>0</v>
      </c>
      <c r="N394" s="80">
        <f t="shared" si="264"/>
        <v>0</v>
      </c>
      <c r="O394" s="80">
        <f t="shared" si="259"/>
        <v>0</v>
      </c>
      <c r="P394" s="80">
        <f t="shared" si="260"/>
        <v>0</v>
      </c>
      <c r="Q394" s="80">
        <f t="shared" ref="Q394:S395" si="265">Q397+Q400</f>
        <v>0</v>
      </c>
      <c r="R394" s="80">
        <f t="shared" si="265"/>
        <v>0</v>
      </c>
      <c r="S394" s="80">
        <f t="shared" si="265"/>
        <v>0</v>
      </c>
      <c r="T394" s="80">
        <f t="shared" si="262"/>
        <v>0</v>
      </c>
      <c r="U394" s="80">
        <f t="shared" si="263"/>
        <v>0</v>
      </c>
    </row>
    <row r="395" spans="1:21" ht="18.75" hidden="1" x14ac:dyDescent="0.25">
      <c r="A395" s="126"/>
      <c r="B395" s="156"/>
      <c r="C395" s="156"/>
      <c r="D395" s="156"/>
      <c r="E395" s="254" t="s">
        <v>21</v>
      </c>
      <c r="F395" s="187"/>
      <c r="G395" s="39"/>
      <c r="H395" s="131" t="s">
        <v>14</v>
      </c>
      <c r="I395" s="41"/>
      <c r="J395" s="41"/>
      <c r="K395" s="42"/>
      <c r="L395" s="481">
        <f t="shared" si="264"/>
        <v>0</v>
      </c>
      <c r="M395" s="230">
        <f t="shared" si="264"/>
        <v>0</v>
      </c>
      <c r="N395" s="230">
        <f t="shared" si="264"/>
        <v>0</v>
      </c>
      <c r="O395" s="230">
        <f t="shared" si="259"/>
        <v>0</v>
      </c>
      <c r="P395" s="230">
        <f t="shared" si="260"/>
        <v>0</v>
      </c>
      <c r="Q395" s="230">
        <f t="shared" si="265"/>
        <v>0</v>
      </c>
      <c r="R395" s="230">
        <f t="shared" si="265"/>
        <v>0</v>
      </c>
      <c r="S395" s="230">
        <f t="shared" si="265"/>
        <v>0</v>
      </c>
      <c r="T395" s="230">
        <f t="shared" si="262"/>
        <v>0</v>
      </c>
      <c r="U395" s="230">
        <f t="shared" si="263"/>
        <v>0</v>
      </c>
    </row>
    <row r="396" spans="1:21" ht="18.75" hidden="1" x14ac:dyDescent="0.25">
      <c r="A396" s="126"/>
      <c r="B396" s="156"/>
      <c r="C396" s="156"/>
      <c r="D396" s="528" t="s">
        <v>22</v>
      </c>
      <c r="E396" s="187"/>
      <c r="F396" s="187"/>
      <c r="G396" s="39"/>
      <c r="H396" s="132" t="s">
        <v>14</v>
      </c>
      <c r="I396" s="133"/>
      <c r="J396" s="133"/>
      <c r="K396" s="134"/>
      <c r="L396" s="481">
        <f t="shared" ref="L396:N396" si="266">L397+L398</f>
        <v>0</v>
      </c>
      <c r="M396" s="230">
        <f t="shared" si="266"/>
        <v>0</v>
      </c>
      <c r="N396" s="230">
        <f t="shared" si="266"/>
        <v>0</v>
      </c>
      <c r="O396" s="230">
        <f t="shared" si="259"/>
        <v>0</v>
      </c>
      <c r="P396" s="230">
        <f t="shared" si="260"/>
        <v>0</v>
      </c>
      <c r="Q396" s="230">
        <f t="shared" ref="Q396:S396" si="267">Q397+Q398</f>
        <v>0</v>
      </c>
      <c r="R396" s="230">
        <f t="shared" si="267"/>
        <v>0</v>
      </c>
      <c r="S396" s="230">
        <f t="shared" si="267"/>
        <v>0</v>
      </c>
      <c r="T396" s="230">
        <f t="shared" si="262"/>
        <v>0</v>
      </c>
      <c r="U396" s="230">
        <f t="shared" si="263"/>
        <v>0</v>
      </c>
    </row>
    <row r="397" spans="1:21" ht="18.75" hidden="1" x14ac:dyDescent="0.25">
      <c r="A397" s="126"/>
      <c r="B397" s="156"/>
      <c r="C397" s="156"/>
      <c r="D397" s="156"/>
      <c r="E397" s="154" t="s">
        <v>36</v>
      </c>
      <c r="F397" s="187"/>
      <c r="G397" s="39"/>
      <c r="H397" s="157" t="s">
        <v>14</v>
      </c>
      <c r="I397" s="133"/>
      <c r="J397" s="133"/>
      <c r="K397" s="134"/>
      <c r="L397" s="483">
        <v>0</v>
      </c>
      <c r="M397" s="80">
        <v>0</v>
      </c>
      <c r="N397" s="80">
        <v>0</v>
      </c>
      <c r="O397" s="80">
        <f t="shared" si="259"/>
        <v>0</v>
      </c>
      <c r="P397" s="80">
        <f t="shared" si="260"/>
        <v>0</v>
      </c>
      <c r="Q397" s="80">
        <v>0</v>
      </c>
      <c r="R397" s="80">
        <v>0</v>
      </c>
      <c r="S397" s="80">
        <v>0</v>
      </c>
      <c r="T397" s="80">
        <f t="shared" si="262"/>
        <v>0</v>
      </c>
      <c r="U397" s="80">
        <f t="shared" si="263"/>
        <v>0</v>
      </c>
    </row>
    <row r="398" spans="1:21" ht="18.75" hidden="1" x14ac:dyDescent="0.25">
      <c r="A398" s="126"/>
      <c r="B398" s="156"/>
      <c r="C398" s="156"/>
      <c r="D398" s="156"/>
      <c r="E398" s="426" t="s">
        <v>37</v>
      </c>
      <c r="F398" s="156"/>
      <c r="G398" s="181"/>
      <c r="H398" s="132" t="s">
        <v>14</v>
      </c>
      <c r="I398" s="133"/>
      <c r="J398" s="133"/>
      <c r="K398" s="134"/>
      <c r="L398" s="481">
        <v>0</v>
      </c>
      <c r="M398" s="230">
        <v>0</v>
      </c>
      <c r="N398" s="230">
        <v>0</v>
      </c>
      <c r="O398" s="230">
        <f t="shared" si="259"/>
        <v>0</v>
      </c>
      <c r="P398" s="230">
        <f t="shared" si="260"/>
        <v>0</v>
      </c>
      <c r="Q398" s="230">
        <v>0</v>
      </c>
      <c r="R398" s="230">
        <v>0</v>
      </c>
      <c r="S398" s="230">
        <v>0</v>
      </c>
      <c r="T398" s="230">
        <f t="shared" si="262"/>
        <v>0</v>
      </c>
      <c r="U398" s="230">
        <f t="shared" si="263"/>
        <v>0</v>
      </c>
    </row>
    <row r="399" spans="1:21" ht="18.75" hidden="1" x14ac:dyDescent="0.25">
      <c r="A399" s="126"/>
      <c r="B399" s="156"/>
      <c r="C399" s="156"/>
      <c r="D399" s="528" t="s">
        <v>23</v>
      </c>
      <c r="E399" s="187"/>
      <c r="F399" s="187"/>
      <c r="G399" s="39"/>
      <c r="H399" s="135" t="s">
        <v>14</v>
      </c>
      <c r="I399" s="133"/>
      <c r="J399" s="133"/>
      <c r="K399" s="134"/>
      <c r="L399" s="481">
        <f t="shared" ref="L399:N399" si="268">L400+L401</f>
        <v>0</v>
      </c>
      <c r="M399" s="230">
        <f t="shared" si="268"/>
        <v>0</v>
      </c>
      <c r="N399" s="230">
        <f t="shared" si="268"/>
        <v>0</v>
      </c>
      <c r="O399" s="230">
        <f t="shared" si="259"/>
        <v>0</v>
      </c>
      <c r="P399" s="230">
        <f t="shared" si="260"/>
        <v>0</v>
      </c>
      <c r="Q399" s="230">
        <f t="shared" ref="Q399:S399" si="269">Q400+Q401</f>
        <v>0</v>
      </c>
      <c r="R399" s="230">
        <f t="shared" si="269"/>
        <v>0</v>
      </c>
      <c r="S399" s="230">
        <f t="shared" si="269"/>
        <v>0</v>
      </c>
      <c r="T399" s="230">
        <f t="shared" si="262"/>
        <v>0</v>
      </c>
      <c r="U399" s="230">
        <f t="shared" si="263"/>
        <v>0</v>
      </c>
    </row>
    <row r="400" spans="1:21" ht="18.75" hidden="1" x14ac:dyDescent="0.25">
      <c r="A400" s="126"/>
      <c r="B400" s="156"/>
      <c r="C400" s="156"/>
      <c r="D400" s="156"/>
      <c r="E400" s="154" t="s">
        <v>20</v>
      </c>
      <c r="F400" s="187"/>
      <c r="G400" s="39"/>
      <c r="H400" s="157" t="s">
        <v>14</v>
      </c>
      <c r="I400" s="133"/>
      <c r="J400" s="133"/>
      <c r="K400" s="134"/>
      <c r="L400" s="483">
        <v>0</v>
      </c>
      <c r="M400" s="80">
        <v>0</v>
      </c>
      <c r="N400" s="80">
        <v>0</v>
      </c>
      <c r="O400" s="80">
        <f t="shared" si="259"/>
        <v>0</v>
      </c>
      <c r="P400" s="80">
        <f t="shared" si="260"/>
        <v>0</v>
      </c>
      <c r="Q400" s="80">
        <v>0</v>
      </c>
      <c r="R400" s="80">
        <v>0</v>
      </c>
      <c r="S400" s="80">
        <v>0</v>
      </c>
      <c r="T400" s="80">
        <f t="shared" si="262"/>
        <v>0</v>
      </c>
      <c r="U400" s="80">
        <f t="shared" si="263"/>
        <v>0</v>
      </c>
    </row>
    <row r="401" spans="1:21" ht="18.75" hidden="1" x14ac:dyDescent="0.25">
      <c r="A401" s="126"/>
      <c r="B401" s="156"/>
      <c r="C401" s="156"/>
      <c r="D401" s="156"/>
      <c r="E401" s="254" t="s">
        <v>21</v>
      </c>
      <c r="F401" s="187"/>
      <c r="G401" s="39"/>
      <c r="H401" s="135" t="s">
        <v>14</v>
      </c>
      <c r="I401" s="133"/>
      <c r="J401" s="133"/>
      <c r="K401" s="134"/>
      <c r="L401" s="481">
        <v>0</v>
      </c>
      <c r="M401" s="230">
        <v>0</v>
      </c>
      <c r="N401" s="230">
        <v>0</v>
      </c>
      <c r="O401" s="230">
        <f t="shared" si="259"/>
        <v>0</v>
      </c>
      <c r="P401" s="230">
        <f t="shared" si="260"/>
        <v>0</v>
      </c>
      <c r="Q401" s="230">
        <v>0</v>
      </c>
      <c r="R401" s="230">
        <v>0</v>
      </c>
      <c r="S401" s="230">
        <v>0</v>
      </c>
      <c r="T401" s="230">
        <f t="shared" si="262"/>
        <v>0</v>
      </c>
      <c r="U401" s="230">
        <f t="shared" si="263"/>
        <v>0</v>
      </c>
    </row>
    <row r="402" spans="1:21" ht="19.5" hidden="1" x14ac:dyDescent="0.3">
      <c r="A402" s="136"/>
      <c r="B402" s="137"/>
      <c r="C402" s="336" t="s">
        <v>18</v>
      </c>
      <c r="D402" s="657" t="s">
        <v>38</v>
      </c>
      <c r="E402" s="139"/>
      <c r="F402" s="139"/>
      <c r="G402" s="140"/>
      <c r="H402" s="179"/>
      <c r="I402" s="133"/>
      <c r="J402" s="41"/>
      <c r="K402" s="42"/>
      <c r="L402" s="484"/>
      <c r="M402" s="42"/>
      <c r="N402" s="42"/>
      <c r="O402" s="134"/>
      <c r="P402" s="134"/>
      <c r="Q402" s="42"/>
      <c r="R402" s="42"/>
      <c r="S402" s="42"/>
      <c r="T402" s="134"/>
      <c r="U402" s="134"/>
    </row>
    <row r="403" spans="1:21" ht="12.75" hidden="1" x14ac:dyDescent="0.2">
      <c r="A403" s="233"/>
      <c r="B403" s="234"/>
      <c r="C403" s="234"/>
      <c r="D403" s="234"/>
      <c r="E403" s="235"/>
      <c r="F403" s="235"/>
      <c r="G403" s="236"/>
      <c r="H403" s="237"/>
      <c r="I403" s="238"/>
      <c r="J403" s="238"/>
      <c r="K403" s="239"/>
      <c r="L403" s="662"/>
      <c r="M403" s="239"/>
      <c r="N403" s="239"/>
      <c r="O403" s="239"/>
      <c r="P403" s="239"/>
      <c r="Q403" s="239"/>
      <c r="R403" s="239"/>
      <c r="S403" s="239"/>
      <c r="T403" s="239"/>
      <c r="U403" s="239"/>
    </row>
    <row r="404" spans="1:21" ht="12.75" hidden="1" x14ac:dyDescent="0.2">
      <c r="A404" s="234"/>
      <c r="B404" s="234"/>
      <c r="C404" s="234"/>
      <c r="D404" s="234"/>
      <c r="E404" s="234"/>
      <c r="F404" s="234"/>
      <c r="G404" s="237"/>
      <c r="H404" s="237"/>
      <c r="I404" s="238"/>
      <c r="J404" s="238"/>
      <c r="K404" s="239"/>
      <c r="L404" s="662"/>
      <c r="M404" s="239"/>
      <c r="N404" s="239"/>
      <c r="O404" s="239"/>
      <c r="P404" s="239"/>
      <c r="Q404" s="239"/>
      <c r="R404" s="239"/>
      <c r="S404" s="239"/>
      <c r="T404" s="239"/>
      <c r="U404" s="239"/>
    </row>
    <row r="405" spans="1:21" ht="12.75" hidden="1" x14ac:dyDescent="0.2">
      <c r="A405" s="234"/>
      <c r="B405" s="234"/>
      <c r="C405" s="234"/>
      <c r="D405" s="234"/>
      <c r="E405" s="234"/>
      <c r="F405" s="234"/>
      <c r="G405" s="237"/>
      <c r="H405" s="237"/>
      <c r="I405" s="238"/>
      <c r="J405" s="238"/>
      <c r="K405" s="239"/>
      <c r="L405" s="662"/>
      <c r="M405" s="239"/>
      <c r="N405" s="239"/>
      <c r="O405" s="239"/>
      <c r="P405" s="239"/>
      <c r="Q405" s="239"/>
      <c r="R405" s="239"/>
      <c r="S405" s="239"/>
      <c r="T405" s="239"/>
      <c r="U405" s="239"/>
    </row>
    <row r="406" spans="1:21" ht="12.75" hidden="1" x14ac:dyDescent="0.2">
      <c r="A406" s="234"/>
      <c r="B406" s="234"/>
      <c r="C406" s="234"/>
      <c r="D406" s="234"/>
      <c r="E406" s="234"/>
      <c r="F406" s="234"/>
      <c r="G406" s="237"/>
      <c r="H406" s="237"/>
      <c r="I406" s="238"/>
      <c r="J406" s="238"/>
      <c r="K406" s="239"/>
      <c r="L406" s="662"/>
      <c r="M406" s="239"/>
      <c r="N406" s="239"/>
      <c r="O406" s="239"/>
      <c r="P406" s="239"/>
      <c r="Q406" s="239"/>
      <c r="R406" s="239"/>
      <c r="S406" s="239"/>
      <c r="T406" s="239"/>
      <c r="U406" s="239"/>
    </row>
    <row r="407" spans="1:21" ht="12.75" hidden="1" x14ac:dyDescent="0.2">
      <c r="A407" s="234"/>
      <c r="B407" s="234"/>
      <c r="C407" s="234"/>
      <c r="D407" s="234"/>
      <c r="E407" s="234"/>
      <c r="F407" s="234"/>
      <c r="G407" s="237"/>
      <c r="H407" s="237"/>
      <c r="I407" s="238"/>
      <c r="J407" s="238"/>
      <c r="K407" s="239"/>
      <c r="L407" s="662"/>
      <c r="M407" s="239"/>
      <c r="N407" s="239"/>
      <c r="O407" s="239"/>
      <c r="P407" s="239"/>
      <c r="Q407" s="239"/>
      <c r="R407" s="239"/>
      <c r="S407" s="239"/>
      <c r="T407" s="239"/>
      <c r="U407" s="239"/>
    </row>
    <row r="408" spans="1:21" ht="12.75" hidden="1" x14ac:dyDescent="0.2">
      <c r="A408" s="234"/>
      <c r="B408" s="234"/>
      <c r="C408" s="234"/>
      <c r="D408" s="234"/>
      <c r="E408" s="234"/>
      <c r="F408" s="234"/>
      <c r="G408" s="237"/>
      <c r="H408" s="237"/>
      <c r="I408" s="238"/>
      <c r="J408" s="238"/>
      <c r="K408" s="239"/>
      <c r="L408" s="662"/>
      <c r="M408" s="239"/>
      <c r="N408" s="239"/>
      <c r="O408" s="239"/>
      <c r="P408" s="239"/>
      <c r="Q408" s="239"/>
      <c r="R408" s="239"/>
      <c r="S408" s="239"/>
      <c r="T408" s="239"/>
      <c r="U408" s="239"/>
    </row>
    <row r="409" spans="1:21" ht="12.75" hidden="1" x14ac:dyDescent="0.2">
      <c r="A409" s="234"/>
      <c r="B409" s="234"/>
      <c r="C409" s="234"/>
      <c r="D409" s="234"/>
      <c r="E409" s="234"/>
      <c r="F409" s="234"/>
      <c r="G409" s="237"/>
      <c r="H409" s="237"/>
      <c r="I409" s="238"/>
      <c r="J409" s="238"/>
      <c r="K409" s="239"/>
      <c r="L409" s="662"/>
      <c r="M409" s="239"/>
      <c r="N409" s="239"/>
      <c r="O409" s="239"/>
      <c r="P409" s="239"/>
      <c r="Q409" s="239"/>
      <c r="R409" s="239"/>
      <c r="S409" s="239"/>
      <c r="T409" s="239"/>
      <c r="U409" s="239"/>
    </row>
    <row r="410" spans="1:21" ht="12.75" hidden="1" x14ac:dyDescent="0.2">
      <c r="A410" s="234"/>
      <c r="B410" s="234"/>
      <c r="C410" s="234"/>
      <c r="D410" s="234"/>
      <c r="E410" s="234"/>
      <c r="F410" s="234"/>
      <c r="G410" s="237"/>
      <c r="H410" s="237"/>
      <c r="I410" s="238"/>
      <c r="J410" s="238"/>
      <c r="K410" s="239"/>
      <c r="L410" s="662"/>
      <c r="M410" s="239"/>
      <c r="N410" s="239"/>
      <c r="O410" s="239"/>
      <c r="P410" s="239"/>
      <c r="Q410" s="239"/>
      <c r="R410" s="239"/>
      <c r="S410" s="239"/>
      <c r="T410" s="239"/>
      <c r="U410" s="239"/>
    </row>
    <row r="411" spans="1:21" ht="12.75" hidden="1" x14ac:dyDescent="0.2">
      <c r="A411" s="234"/>
      <c r="B411" s="234"/>
      <c r="C411" s="234"/>
      <c r="D411" s="234"/>
      <c r="E411" s="234"/>
      <c r="F411" s="234"/>
      <c r="G411" s="237"/>
      <c r="H411" s="237"/>
      <c r="I411" s="238"/>
      <c r="J411" s="238"/>
      <c r="K411" s="239"/>
      <c r="L411" s="662"/>
      <c r="M411" s="239"/>
      <c r="N411" s="239"/>
      <c r="O411" s="239"/>
      <c r="P411" s="239"/>
      <c r="Q411" s="239"/>
      <c r="R411" s="239"/>
      <c r="S411" s="239"/>
      <c r="T411" s="239"/>
      <c r="U411" s="239"/>
    </row>
    <row r="412" spans="1:21" ht="12.75" hidden="1" x14ac:dyDescent="0.2">
      <c r="A412" s="327"/>
      <c r="B412" s="327"/>
      <c r="C412" s="327"/>
      <c r="D412" s="327"/>
      <c r="E412" s="327"/>
      <c r="F412" s="327"/>
      <c r="G412" s="328"/>
      <c r="H412" s="328"/>
      <c r="I412" s="329"/>
      <c r="J412" s="329"/>
      <c r="K412" s="330"/>
      <c r="L412" s="663"/>
      <c r="M412" s="330"/>
      <c r="N412" s="330"/>
      <c r="O412" s="330"/>
      <c r="P412" s="330"/>
      <c r="Q412" s="330"/>
      <c r="R412" s="330"/>
      <c r="S412" s="330"/>
      <c r="T412" s="330"/>
      <c r="U412" s="330"/>
    </row>
    <row r="413" spans="1:21" ht="19.5" hidden="1" x14ac:dyDescent="0.3">
      <c r="A413" s="310"/>
      <c r="B413" s="321" t="s">
        <v>157</v>
      </c>
      <c r="C413" s="310"/>
      <c r="D413" s="310"/>
      <c r="E413" s="310"/>
      <c r="F413" s="310"/>
      <c r="G413" s="331"/>
      <c r="H413" s="332" t="s">
        <v>46</v>
      </c>
      <c r="I413" s="623">
        <f t="shared" ref="I413:J413" ca="1" si="270">I424</f>
        <v>0</v>
      </c>
      <c r="J413" s="623">
        <f t="shared" si="270"/>
        <v>0</v>
      </c>
      <c r="K413" s="624">
        <f ca="1">IF(I413&gt;0,J413*100/I413,0)</f>
        <v>0</v>
      </c>
      <c r="L413" s="625"/>
      <c r="M413" s="307"/>
      <c r="N413" s="307"/>
      <c r="O413" s="307"/>
      <c r="P413" s="307"/>
      <c r="Q413" s="307"/>
      <c r="R413" s="307"/>
      <c r="S413" s="307"/>
      <c r="T413" s="307"/>
      <c r="U413" s="307"/>
    </row>
    <row r="414" spans="1:21" ht="19.5" hidden="1" x14ac:dyDescent="0.3">
      <c r="A414" s="126"/>
      <c r="B414" s="156"/>
      <c r="C414" s="333" t="s">
        <v>18</v>
      </c>
      <c r="D414" s="824" t="s">
        <v>19</v>
      </c>
      <c r="E414" s="803"/>
      <c r="F414" s="803"/>
      <c r="G414" s="804"/>
      <c r="H414" s="334" t="s">
        <v>14</v>
      </c>
      <c r="I414" s="41"/>
      <c r="J414" s="41"/>
      <c r="K414" s="42"/>
      <c r="L414" s="514">
        <f t="shared" ref="L414:N414" si="271">L415+L416</f>
        <v>0</v>
      </c>
      <c r="M414" s="515">
        <f t="shared" si="271"/>
        <v>0</v>
      </c>
      <c r="N414" s="515">
        <f t="shared" si="271"/>
        <v>0</v>
      </c>
      <c r="O414" s="515">
        <f t="shared" ref="O414:O422" si="272">IF(L414&gt;0,N414*100/L414,0)</f>
        <v>0</v>
      </c>
      <c r="P414" s="515">
        <f t="shared" ref="P414:P422" si="273">IF(M414&gt;0,N414*100/M414,0)</f>
        <v>0</v>
      </c>
      <c r="Q414" s="515">
        <f t="shared" ref="Q414:S414" ca="1" si="274">Q415+Q416</f>
        <v>0</v>
      </c>
      <c r="R414" s="515">
        <f t="shared" ca="1" si="274"/>
        <v>0</v>
      </c>
      <c r="S414" s="515">
        <f t="shared" ca="1" si="274"/>
        <v>0</v>
      </c>
      <c r="T414" s="515">
        <f t="shared" ref="T414:T422" ca="1" si="275">IF(Q414&gt;0,S414*100/Q414,0)</f>
        <v>0</v>
      </c>
      <c r="U414" s="515">
        <f t="shared" ref="U414:U422" ca="1" si="276">IF(R414&gt;0,S414*100/R414,0)</f>
        <v>0</v>
      </c>
    </row>
    <row r="415" spans="1:21" ht="18.75" hidden="1" x14ac:dyDescent="0.25">
      <c r="A415" s="126"/>
      <c r="B415" s="156"/>
      <c r="C415" s="156"/>
      <c r="D415" s="156"/>
      <c r="E415" s="442" t="s">
        <v>158</v>
      </c>
      <c r="F415" s="156"/>
      <c r="G415" s="181"/>
      <c r="H415" s="177" t="s">
        <v>14</v>
      </c>
      <c r="I415" s="41"/>
      <c r="J415" s="41"/>
      <c r="K415" s="42"/>
      <c r="L415" s="483">
        <f t="shared" ref="L415:N416" si="277">L418+L421</f>
        <v>0</v>
      </c>
      <c r="M415" s="80">
        <f t="shared" si="277"/>
        <v>0</v>
      </c>
      <c r="N415" s="80">
        <f t="shared" si="277"/>
        <v>0</v>
      </c>
      <c r="O415" s="80">
        <f t="shared" si="272"/>
        <v>0</v>
      </c>
      <c r="P415" s="80">
        <f t="shared" si="273"/>
        <v>0</v>
      </c>
      <c r="Q415" s="80">
        <f t="shared" ref="Q415:S416" si="278">Q418+Q421</f>
        <v>0</v>
      </c>
      <c r="R415" s="80">
        <f t="shared" si="278"/>
        <v>0</v>
      </c>
      <c r="S415" s="80">
        <f t="shared" si="278"/>
        <v>0</v>
      </c>
      <c r="T415" s="80">
        <f t="shared" si="275"/>
        <v>0</v>
      </c>
      <c r="U415" s="80">
        <f t="shared" si="276"/>
        <v>0</v>
      </c>
    </row>
    <row r="416" spans="1:21" ht="18.75" hidden="1" x14ac:dyDescent="0.25">
      <c r="A416" s="126"/>
      <c r="B416" s="156"/>
      <c r="C416" s="156"/>
      <c r="D416" s="156"/>
      <c r="E416" s="426" t="s">
        <v>159</v>
      </c>
      <c r="F416" s="156"/>
      <c r="G416" s="181"/>
      <c r="H416" s="176" t="s">
        <v>14</v>
      </c>
      <c r="I416" s="41"/>
      <c r="J416" s="41"/>
      <c r="K416" s="42"/>
      <c r="L416" s="481">
        <f t="shared" si="277"/>
        <v>0</v>
      </c>
      <c r="M416" s="230">
        <f t="shared" si="277"/>
        <v>0</v>
      </c>
      <c r="N416" s="230">
        <f t="shared" si="277"/>
        <v>0</v>
      </c>
      <c r="O416" s="230">
        <f t="shared" si="272"/>
        <v>0</v>
      </c>
      <c r="P416" s="230">
        <f t="shared" si="273"/>
        <v>0</v>
      </c>
      <c r="Q416" s="230">
        <f t="shared" ca="1" si="278"/>
        <v>0</v>
      </c>
      <c r="R416" s="230">
        <f t="shared" ca="1" si="278"/>
        <v>0</v>
      </c>
      <c r="S416" s="230">
        <f t="shared" ca="1" si="278"/>
        <v>0</v>
      </c>
      <c r="T416" s="230">
        <f t="shared" ca="1" si="275"/>
        <v>0</v>
      </c>
      <c r="U416" s="230">
        <f t="shared" ca="1" si="276"/>
        <v>0</v>
      </c>
    </row>
    <row r="417" spans="1:21" ht="19.5" hidden="1" x14ac:dyDescent="0.3">
      <c r="A417" s="126"/>
      <c r="B417" s="156"/>
      <c r="C417" s="156"/>
      <c r="D417" s="656" t="s">
        <v>22</v>
      </c>
      <c r="E417" s="156"/>
      <c r="F417" s="156"/>
      <c r="G417" s="181"/>
      <c r="H417" s="334" t="s">
        <v>14</v>
      </c>
      <c r="I417" s="41"/>
      <c r="J417" s="41"/>
      <c r="K417" s="42"/>
      <c r="L417" s="481">
        <f t="shared" ref="L417:N417" si="279">L418+L419</f>
        <v>0</v>
      </c>
      <c r="M417" s="230">
        <f t="shared" si="279"/>
        <v>0</v>
      </c>
      <c r="N417" s="230">
        <f t="shared" si="279"/>
        <v>0</v>
      </c>
      <c r="O417" s="230">
        <f t="shared" si="272"/>
        <v>0</v>
      </c>
      <c r="P417" s="230">
        <f t="shared" si="273"/>
        <v>0</v>
      </c>
      <c r="Q417" s="230">
        <f t="shared" ref="Q417:S417" ca="1" si="280">Q418+Q419</f>
        <v>0</v>
      </c>
      <c r="R417" s="230">
        <f t="shared" ca="1" si="280"/>
        <v>0</v>
      </c>
      <c r="S417" s="230">
        <f t="shared" ca="1" si="280"/>
        <v>0</v>
      </c>
      <c r="T417" s="230">
        <f t="shared" ca="1" si="275"/>
        <v>0</v>
      </c>
      <c r="U417" s="230">
        <f t="shared" ca="1" si="276"/>
        <v>0</v>
      </c>
    </row>
    <row r="418" spans="1:21" ht="18.75" hidden="1" x14ac:dyDescent="0.25">
      <c r="A418" s="126"/>
      <c r="B418" s="156"/>
      <c r="C418" s="156"/>
      <c r="D418" s="156"/>
      <c r="E418" s="442" t="s">
        <v>158</v>
      </c>
      <c r="F418" s="156"/>
      <c r="G418" s="181"/>
      <c r="H418" s="177" t="s">
        <v>14</v>
      </c>
      <c r="I418" s="41"/>
      <c r="J418" s="41"/>
      <c r="K418" s="42"/>
      <c r="L418" s="483">
        <v>0</v>
      </c>
      <c r="M418" s="80">
        <v>0</v>
      </c>
      <c r="N418" s="80">
        <v>0</v>
      </c>
      <c r="O418" s="80">
        <f t="shared" si="272"/>
        <v>0</v>
      </c>
      <c r="P418" s="80">
        <f t="shared" si="273"/>
        <v>0</v>
      </c>
      <c r="Q418" s="80">
        <v>0</v>
      </c>
      <c r="R418" s="80">
        <v>0</v>
      </c>
      <c r="S418" s="80">
        <v>0</v>
      </c>
      <c r="T418" s="80">
        <f t="shared" si="275"/>
        <v>0</v>
      </c>
      <c r="U418" s="80">
        <f t="shared" si="276"/>
        <v>0</v>
      </c>
    </row>
    <row r="419" spans="1:21" ht="18.75" hidden="1" x14ac:dyDescent="0.25">
      <c r="A419" s="126"/>
      <c r="B419" s="156"/>
      <c r="C419" s="156"/>
      <c r="D419" s="156"/>
      <c r="E419" s="426" t="s">
        <v>159</v>
      </c>
      <c r="F419" s="156"/>
      <c r="G419" s="181"/>
      <c r="H419" s="176" t="s">
        <v>14</v>
      </c>
      <c r="I419" s="41"/>
      <c r="J419" s="41"/>
      <c r="K419" s="42"/>
      <c r="L419" s="481">
        <v>0</v>
      </c>
      <c r="M419" s="230">
        <v>0</v>
      </c>
      <c r="N419" s="230">
        <v>0</v>
      </c>
      <c r="O419" s="230">
        <f t="shared" si="272"/>
        <v>0</v>
      </c>
      <c r="P419" s="230">
        <f t="shared" si="273"/>
        <v>0</v>
      </c>
      <c r="Q419" s="230">
        <f ca="1">IFERROR(__xludf.DUMMYFUNCTION("IMPORTRANGE(""https://docs.google.com/spreadsheets/d/1ItG2mGa2ceCfYo0BwxsXqNm01IGEUdYcSSLTEv9YCik/edit?usp=sharing"",""เบิกจ่ายกองทุน!BH21"")"),0)</f>
        <v>0</v>
      </c>
      <c r="R419" s="230">
        <f ca="1">IFERROR(__xludf.DUMMYFUNCTION("IMPORTRANGE(""https://docs.google.com/spreadsheets/d/1ItG2mGa2ceCfYo0BwxsXqNm01IGEUdYcSSLTEv9YCik/edit?usp=sharing"",""เบิกจ่ายกองทุน!BI21"")"),0)</f>
        <v>0</v>
      </c>
      <c r="S419" s="230">
        <f ca="1">IFERROR(__xludf.DUMMYFUNCTION("IMPORTRANGE(""https://docs.google.com/spreadsheets/d/1ItG2mGa2ceCfYo0BwxsXqNm01IGEUdYcSSLTEv9YCik/edit?usp=sharing"",""เบิกจ่ายกองทุน!BJ21"")"),0)</f>
        <v>0</v>
      </c>
      <c r="T419" s="230">
        <f t="shared" ca="1" si="275"/>
        <v>0</v>
      </c>
      <c r="U419" s="230">
        <f t="shared" ca="1" si="276"/>
        <v>0</v>
      </c>
    </row>
    <row r="420" spans="1:21" ht="19.5" hidden="1" x14ac:dyDescent="0.3">
      <c r="A420" s="126"/>
      <c r="B420" s="156"/>
      <c r="C420" s="156"/>
      <c r="D420" s="656" t="s">
        <v>23</v>
      </c>
      <c r="E420" s="156"/>
      <c r="F420" s="156"/>
      <c r="G420" s="181"/>
      <c r="H420" s="129" t="s">
        <v>14</v>
      </c>
      <c r="I420" s="41"/>
      <c r="J420" s="41"/>
      <c r="K420" s="42"/>
      <c r="L420" s="481">
        <f t="shared" ref="L420:N420" si="281">L421+L422</f>
        <v>0</v>
      </c>
      <c r="M420" s="230">
        <f t="shared" si="281"/>
        <v>0</v>
      </c>
      <c r="N420" s="230">
        <f t="shared" si="281"/>
        <v>0</v>
      </c>
      <c r="O420" s="230">
        <f t="shared" si="272"/>
        <v>0</v>
      </c>
      <c r="P420" s="230">
        <f t="shared" si="273"/>
        <v>0</v>
      </c>
      <c r="Q420" s="230">
        <f t="shared" ref="Q420:S420" si="282">Q421+Q422</f>
        <v>0</v>
      </c>
      <c r="R420" s="230">
        <f t="shared" si="282"/>
        <v>0</v>
      </c>
      <c r="S420" s="230">
        <f t="shared" si="282"/>
        <v>0</v>
      </c>
      <c r="T420" s="230">
        <f t="shared" si="275"/>
        <v>0</v>
      </c>
      <c r="U420" s="230">
        <f t="shared" si="276"/>
        <v>0</v>
      </c>
    </row>
    <row r="421" spans="1:21" ht="18.75" hidden="1" x14ac:dyDescent="0.25">
      <c r="A421" s="126"/>
      <c r="B421" s="156"/>
      <c r="C421" s="156"/>
      <c r="D421" s="156"/>
      <c r="E421" s="442" t="s">
        <v>20</v>
      </c>
      <c r="F421" s="156"/>
      <c r="G421" s="181"/>
      <c r="H421" s="177" t="s">
        <v>14</v>
      </c>
      <c r="I421" s="41"/>
      <c r="J421" s="41"/>
      <c r="K421" s="42"/>
      <c r="L421" s="483">
        <v>0</v>
      </c>
      <c r="M421" s="80">
        <v>0</v>
      </c>
      <c r="N421" s="80">
        <v>0</v>
      </c>
      <c r="O421" s="80">
        <f t="shared" si="272"/>
        <v>0</v>
      </c>
      <c r="P421" s="80">
        <f t="shared" si="273"/>
        <v>0</v>
      </c>
      <c r="Q421" s="80">
        <v>0</v>
      </c>
      <c r="R421" s="80">
        <v>0</v>
      </c>
      <c r="S421" s="80">
        <v>0</v>
      </c>
      <c r="T421" s="80">
        <f t="shared" si="275"/>
        <v>0</v>
      </c>
      <c r="U421" s="80">
        <f t="shared" si="276"/>
        <v>0</v>
      </c>
    </row>
    <row r="422" spans="1:21" ht="18.75" hidden="1" x14ac:dyDescent="0.25">
      <c r="A422" s="126"/>
      <c r="B422" s="156"/>
      <c r="C422" s="156"/>
      <c r="D422" s="156"/>
      <c r="E422" s="426" t="s">
        <v>21</v>
      </c>
      <c r="F422" s="156"/>
      <c r="G422" s="181"/>
      <c r="H422" s="131" t="s">
        <v>14</v>
      </c>
      <c r="I422" s="41"/>
      <c r="J422" s="41"/>
      <c r="K422" s="42"/>
      <c r="L422" s="481">
        <v>0</v>
      </c>
      <c r="M422" s="230">
        <v>0</v>
      </c>
      <c r="N422" s="230">
        <v>0</v>
      </c>
      <c r="O422" s="230">
        <f t="shared" si="272"/>
        <v>0</v>
      </c>
      <c r="P422" s="230">
        <f t="shared" si="273"/>
        <v>0</v>
      </c>
      <c r="Q422" s="230">
        <v>0</v>
      </c>
      <c r="R422" s="230">
        <v>0</v>
      </c>
      <c r="S422" s="230">
        <v>0</v>
      </c>
      <c r="T422" s="230">
        <f t="shared" si="275"/>
        <v>0</v>
      </c>
      <c r="U422" s="230">
        <f t="shared" si="276"/>
        <v>0</v>
      </c>
    </row>
    <row r="423" spans="1:21" ht="19.5" hidden="1" x14ac:dyDescent="0.3">
      <c r="A423" s="214"/>
      <c r="B423" s="156"/>
      <c r="C423" s="333" t="s">
        <v>18</v>
      </c>
      <c r="D423" s="664" t="s">
        <v>38</v>
      </c>
      <c r="E423" s="156"/>
      <c r="F423" s="156"/>
      <c r="G423" s="181"/>
      <c r="H423" s="181"/>
      <c r="I423" s="41"/>
      <c r="J423" s="41"/>
      <c r="K423" s="42"/>
      <c r="L423" s="484"/>
      <c r="M423" s="42"/>
      <c r="N423" s="42"/>
      <c r="O423" s="42"/>
      <c r="P423" s="42"/>
      <c r="Q423" s="42"/>
      <c r="R423" s="42"/>
      <c r="S423" s="42"/>
      <c r="T423" s="42"/>
      <c r="U423" s="42"/>
    </row>
    <row r="424" spans="1:21" ht="19.5" hidden="1" x14ac:dyDescent="0.3">
      <c r="A424" s="214"/>
      <c r="B424" s="336" t="s">
        <v>160</v>
      </c>
      <c r="C424" s="156"/>
      <c r="D424" s="156"/>
      <c r="E424" s="156"/>
      <c r="F424" s="156"/>
      <c r="G424" s="181"/>
      <c r="H424" s="334" t="s">
        <v>46</v>
      </c>
      <c r="I424" s="340">
        <f t="shared" ref="I424:J424" ca="1" si="283">I441</f>
        <v>0</v>
      </c>
      <c r="J424" s="340">
        <f t="shared" si="283"/>
        <v>0</v>
      </c>
      <c r="K424" s="515">
        <f t="shared" ref="K424:K426" ca="1" si="284">IF(I424&gt;0,J424*100/I424,0)</f>
        <v>0</v>
      </c>
      <c r="L424" s="484"/>
      <c r="M424" s="42"/>
      <c r="N424" s="42"/>
      <c r="O424" s="42"/>
      <c r="P424" s="42"/>
      <c r="Q424" s="42"/>
      <c r="R424" s="42"/>
      <c r="S424" s="42"/>
      <c r="T424" s="42"/>
      <c r="U424" s="42"/>
    </row>
    <row r="425" spans="1:21" ht="19.5" hidden="1" x14ac:dyDescent="0.3">
      <c r="A425" s="214"/>
      <c r="B425" s="156"/>
      <c r="C425" s="336" t="s">
        <v>161</v>
      </c>
      <c r="D425" s="156"/>
      <c r="E425" s="156"/>
      <c r="F425" s="156"/>
      <c r="G425" s="181"/>
      <c r="H425" s="129" t="s">
        <v>46</v>
      </c>
      <c r="I425" s="340">
        <f ca="1">IFERROR(__xludf.DUMMYFUNCTION("IMPORTRANGE(""https://docs.google.com/spreadsheets/d/1eHaY18a8A9IcSdp1K8H6x8fbOy06t2VsZHhMHf-1x7Y/edit?usp=sharing"",""แผน!HJ21"")"),0)</f>
        <v>0</v>
      </c>
      <c r="J425" s="340">
        <f t="shared" ref="J425:J426" si="285">J427+J429+J431</f>
        <v>0</v>
      </c>
      <c r="K425" s="515">
        <f t="shared" ca="1" si="284"/>
        <v>0</v>
      </c>
      <c r="L425" s="484"/>
      <c r="M425" s="42"/>
      <c r="N425" s="42"/>
      <c r="O425" s="42"/>
      <c r="P425" s="42"/>
      <c r="Q425" s="42"/>
      <c r="R425" s="42"/>
      <c r="S425" s="42"/>
      <c r="T425" s="42"/>
      <c r="U425" s="42"/>
    </row>
    <row r="426" spans="1:21" ht="19.5" hidden="1" x14ac:dyDescent="0.3">
      <c r="A426" s="214"/>
      <c r="B426" s="156"/>
      <c r="C426" s="156"/>
      <c r="D426" s="156"/>
      <c r="E426" s="156"/>
      <c r="F426" s="156"/>
      <c r="G426" s="181"/>
      <c r="H426" s="129" t="s">
        <v>34</v>
      </c>
      <c r="I426" s="340">
        <f ca="1">IFERROR(__xludf.DUMMYFUNCTION("IMPORTRANGE(""https://docs.google.com/spreadsheets/d/1eHaY18a8A9IcSdp1K8H6x8fbOy06t2VsZHhMHf-1x7Y/edit?usp=sharing"",""แผน!HK21"")"),0)</f>
        <v>0</v>
      </c>
      <c r="J426" s="340">
        <f t="shared" si="285"/>
        <v>0</v>
      </c>
      <c r="K426" s="515">
        <f t="shared" ca="1" si="284"/>
        <v>0</v>
      </c>
      <c r="L426" s="484"/>
      <c r="M426" s="42"/>
      <c r="N426" s="42"/>
      <c r="O426" s="42"/>
      <c r="P426" s="42"/>
      <c r="Q426" s="42"/>
      <c r="R426" s="42"/>
      <c r="S426" s="42"/>
      <c r="T426" s="42"/>
      <c r="U426" s="42"/>
    </row>
    <row r="427" spans="1:21" ht="18.75" hidden="1" x14ac:dyDescent="0.25">
      <c r="A427" s="214"/>
      <c r="B427" s="156"/>
      <c r="C427" s="156"/>
      <c r="D427" s="426" t="s">
        <v>162</v>
      </c>
      <c r="E427" s="156"/>
      <c r="F427" s="156"/>
      <c r="G427" s="181"/>
      <c r="H427" s="131" t="s">
        <v>46</v>
      </c>
      <c r="I427" s="41"/>
      <c r="J427" s="41"/>
      <c r="K427" s="42"/>
      <c r="L427" s="484"/>
      <c r="M427" s="42"/>
      <c r="N427" s="42"/>
      <c r="O427" s="42"/>
      <c r="P427" s="42"/>
      <c r="Q427" s="42"/>
      <c r="R427" s="42"/>
      <c r="S427" s="42"/>
      <c r="T427" s="42"/>
      <c r="U427" s="42"/>
    </row>
    <row r="428" spans="1:21" ht="18.75" hidden="1" x14ac:dyDescent="0.25">
      <c r="A428" s="214"/>
      <c r="B428" s="156"/>
      <c r="C428" s="156"/>
      <c r="D428" s="156"/>
      <c r="E428" s="156"/>
      <c r="F428" s="156"/>
      <c r="G428" s="181"/>
      <c r="H428" s="131" t="s">
        <v>34</v>
      </c>
      <c r="I428" s="41"/>
      <c r="J428" s="41"/>
      <c r="K428" s="42"/>
      <c r="L428" s="484"/>
      <c r="M428" s="42"/>
      <c r="N428" s="42"/>
      <c r="O428" s="42"/>
      <c r="P428" s="42"/>
      <c r="Q428" s="42"/>
      <c r="R428" s="42"/>
      <c r="S428" s="42"/>
      <c r="T428" s="42"/>
      <c r="U428" s="42"/>
    </row>
    <row r="429" spans="1:21" ht="18.75" hidden="1" x14ac:dyDescent="0.25">
      <c r="A429" s="214"/>
      <c r="B429" s="156"/>
      <c r="C429" s="156"/>
      <c r="D429" s="426" t="s">
        <v>163</v>
      </c>
      <c r="E429" s="156"/>
      <c r="F429" s="156"/>
      <c r="G429" s="181"/>
      <c r="H429" s="131" t="s">
        <v>46</v>
      </c>
      <c r="I429" s="41"/>
      <c r="J429" s="41"/>
      <c r="K429" s="42"/>
      <c r="L429" s="484"/>
      <c r="M429" s="42"/>
      <c r="N429" s="42"/>
      <c r="O429" s="42"/>
      <c r="P429" s="42"/>
      <c r="Q429" s="42"/>
      <c r="R429" s="42"/>
      <c r="S429" s="42"/>
      <c r="T429" s="42"/>
      <c r="U429" s="42"/>
    </row>
    <row r="430" spans="1:21" ht="18.75" hidden="1" x14ac:dyDescent="0.25">
      <c r="A430" s="214"/>
      <c r="B430" s="156"/>
      <c r="C430" s="156"/>
      <c r="D430" s="156"/>
      <c r="E430" s="156"/>
      <c r="F430" s="156"/>
      <c r="G430" s="181"/>
      <c r="H430" s="131" t="s">
        <v>34</v>
      </c>
      <c r="I430" s="41"/>
      <c r="J430" s="41"/>
      <c r="K430" s="42"/>
      <c r="L430" s="484"/>
      <c r="M430" s="42"/>
      <c r="N430" s="42"/>
      <c r="O430" s="42"/>
      <c r="P430" s="42"/>
      <c r="Q430" s="42"/>
      <c r="R430" s="42"/>
      <c r="S430" s="42"/>
      <c r="T430" s="42"/>
      <c r="U430" s="42"/>
    </row>
    <row r="431" spans="1:21" ht="18.75" hidden="1" x14ac:dyDescent="0.25">
      <c r="A431" s="214"/>
      <c r="B431" s="156"/>
      <c r="C431" s="156"/>
      <c r="D431" s="426" t="s">
        <v>164</v>
      </c>
      <c r="E431" s="156"/>
      <c r="F431" s="156"/>
      <c r="G431" s="181"/>
      <c r="H431" s="131" t="s">
        <v>46</v>
      </c>
      <c r="I431" s="41"/>
      <c r="J431" s="41"/>
      <c r="K431" s="42"/>
      <c r="L431" s="484"/>
      <c r="M431" s="42"/>
      <c r="N431" s="42"/>
      <c r="O431" s="42"/>
      <c r="P431" s="42"/>
      <c r="Q431" s="42"/>
      <c r="R431" s="42"/>
      <c r="S431" s="42"/>
      <c r="T431" s="42"/>
      <c r="U431" s="42"/>
    </row>
    <row r="432" spans="1:21" ht="18.75" hidden="1" x14ac:dyDescent="0.25">
      <c r="A432" s="214"/>
      <c r="B432" s="156"/>
      <c r="C432" s="156"/>
      <c r="D432" s="156"/>
      <c r="E432" s="156"/>
      <c r="F432" s="156"/>
      <c r="G432" s="181"/>
      <c r="H432" s="131" t="s">
        <v>34</v>
      </c>
      <c r="I432" s="41"/>
      <c r="J432" s="41"/>
      <c r="K432" s="42"/>
      <c r="L432" s="484"/>
      <c r="M432" s="42"/>
      <c r="N432" s="42"/>
      <c r="O432" s="42"/>
      <c r="P432" s="42"/>
      <c r="Q432" s="42"/>
      <c r="R432" s="42"/>
      <c r="S432" s="42"/>
      <c r="T432" s="42"/>
      <c r="U432" s="42"/>
    </row>
    <row r="433" spans="1:21" ht="19.5" hidden="1" x14ac:dyDescent="0.3">
      <c r="A433" s="214"/>
      <c r="B433" s="156"/>
      <c r="C433" s="336" t="s">
        <v>165</v>
      </c>
      <c r="D433" s="156"/>
      <c r="E433" s="156"/>
      <c r="F433" s="156"/>
      <c r="G433" s="181"/>
      <c r="H433" s="129" t="s">
        <v>46</v>
      </c>
      <c r="I433" s="340">
        <f ca="1">IFERROR(__xludf.DUMMYFUNCTION("IMPORTRANGE(""https://docs.google.com/spreadsheets/d/1eHaY18a8A9IcSdp1K8H6x8fbOy06t2VsZHhMHf-1x7Y/edit?usp=sharing"",""แผน!HJ21"")"),0)</f>
        <v>0</v>
      </c>
      <c r="J433" s="340">
        <f t="shared" ref="J433:J434" si="286">J435+J437+J439</f>
        <v>0</v>
      </c>
      <c r="K433" s="515">
        <f t="shared" ref="K433:K434" ca="1" si="287">IF(I433&gt;0,J433*100/I433,0)</f>
        <v>0</v>
      </c>
      <c r="L433" s="484"/>
      <c r="M433" s="42"/>
      <c r="N433" s="42"/>
      <c r="O433" s="42"/>
      <c r="P433" s="42"/>
      <c r="Q433" s="42"/>
      <c r="R433" s="42"/>
      <c r="S433" s="42"/>
      <c r="T433" s="42"/>
      <c r="U433" s="42"/>
    </row>
    <row r="434" spans="1:21" ht="19.5" hidden="1" x14ac:dyDescent="0.3">
      <c r="A434" s="214"/>
      <c r="B434" s="156"/>
      <c r="C434" s="156"/>
      <c r="D434" s="156"/>
      <c r="E434" s="156"/>
      <c r="F434" s="156"/>
      <c r="G434" s="181"/>
      <c r="H434" s="129" t="s">
        <v>34</v>
      </c>
      <c r="I434" s="340">
        <f ca="1">IFERROR(__xludf.DUMMYFUNCTION("IMPORTRANGE(""https://docs.google.com/spreadsheets/d/1eHaY18a8A9IcSdp1K8H6x8fbOy06t2VsZHhMHf-1x7Y/edit?usp=sharing"",""แผน!HK21"")"),0)</f>
        <v>0</v>
      </c>
      <c r="J434" s="340">
        <f t="shared" si="286"/>
        <v>0</v>
      </c>
      <c r="K434" s="515">
        <f t="shared" ca="1" si="287"/>
        <v>0</v>
      </c>
      <c r="L434" s="484"/>
      <c r="M434" s="42"/>
      <c r="N434" s="42"/>
      <c r="O434" s="42"/>
      <c r="P434" s="42"/>
      <c r="Q434" s="42"/>
      <c r="R434" s="42"/>
      <c r="S434" s="42"/>
      <c r="T434" s="42"/>
      <c r="U434" s="42"/>
    </row>
    <row r="435" spans="1:21" ht="18.75" hidden="1" x14ac:dyDescent="0.25">
      <c r="A435" s="214"/>
      <c r="B435" s="156"/>
      <c r="C435" s="156"/>
      <c r="D435" s="426" t="s">
        <v>166</v>
      </c>
      <c r="E435" s="156"/>
      <c r="F435" s="156"/>
      <c r="G435" s="181"/>
      <c r="H435" s="131" t="s">
        <v>46</v>
      </c>
      <c r="I435" s="41"/>
      <c r="J435" s="41"/>
      <c r="K435" s="42"/>
      <c r="L435" s="484"/>
      <c r="M435" s="42"/>
      <c r="N435" s="42"/>
      <c r="O435" s="42"/>
      <c r="P435" s="42"/>
      <c r="Q435" s="42"/>
      <c r="R435" s="42"/>
      <c r="S435" s="42"/>
      <c r="T435" s="42"/>
      <c r="U435" s="42"/>
    </row>
    <row r="436" spans="1:21" ht="18.75" hidden="1" x14ac:dyDescent="0.25">
      <c r="A436" s="214"/>
      <c r="B436" s="156"/>
      <c r="C436" s="156"/>
      <c r="D436" s="156"/>
      <c r="E436" s="156"/>
      <c r="F436" s="156"/>
      <c r="G436" s="181"/>
      <c r="H436" s="131" t="s">
        <v>34</v>
      </c>
      <c r="I436" s="41"/>
      <c r="J436" s="41"/>
      <c r="K436" s="42"/>
      <c r="L436" s="484"/>
      <c r="M436" s="42"/>
      <c r="N436" s="42"/>
      <c r="O436" s="42"/>
      <c r="P436" s="42"/>
      <c r="Q436" s="42"/>
      <c r="R436" s="42"/>
      <c r="S436" s="42"/>
      <c r="T436" s="42"/>
      <c r="U436" s="42"/>
    </row>
    <row r="437" spans="1:21" ht="18.75" hidden="1" x14ac:dyDescent="0.25">
      <c r="A437" s="214"/>
      <c r="B437" s="156"/>
      <c r="C437" s="156"/>
      <c r="D437" s="426" t="s">
        <v>167</v>
      </c>
      <c r="E437" s="156"/>
      <c r="F437" s="156"/>
      <c r="G437" s="181"/>
      <c r="H437" s="131" t="s">
        <v>46</v>
      </c>
      <c r="I437" s="41"/>
      <c r="J437" s="41"/>
      <c r="K437" s="42"/>
      <c r="L437" s="484"/>
      <c r="M437" s="42"/>
      <c r="N437" s="42"/>
      <c r="O437" s="42"/>
      <c r="P437" s="42"/>
      <c r="Q437" s="42"/>
      <c r="R437" s="42"/>
      <c r="S437" s="42"/>
      <c r="T437" s="42"/>
      <c r="U437" s="42"/>
    </row>
    <row r="438" spans="1:21" ht="18.75" hidden="1" x14ac:dyDescent="0.25">
      <c r="A438" s="214"/>
      <c r="B438" s="156"/>
      <c r="C438" s="156"/>
      <c r="D438" s="156"/>
      <c r="E438" s="156"/>
      <c r="F438" s="156"/>
      <c r="G438" s="181"/>
      <c r="H438" s="131" t="s">
        <v>34</v>
      </c>
      <c r="I438" s="41"/>
      <c r="J438" s="41"/>
      <c r="K438" s="42"/>
      <c r="L438" s="484"/>
      <c r="M438" s="42"/>
      <c r="N438" s="42"/>
      <c r="O438" s="42"/>
      <c r="P438" s="42"/>
      <c r="Q438" s="42"/>
      <c r="R438" s="42"/>
      <c r="S438" s="42"/>
      <c r="T438" s="42"/>
      <c r="U438" s="42"/>
    </row>
    <row r="439" spans="1:21" ht="18.75" hidden="1" x14ac:dyDescent="0.25">
      <c r="A439" s="214"/>
      <c r="B439" s="156"/>
      <c r="C439" s="156"/>
      <c r="D439" s="426" t="s">
        <v>168</v>
      </c>
      <c r="E439" s="156"/>
      <c r="F439" s="156"/>
      <c r="G439" s="181"/>
      <c r="H439" s="131" t="s">
        <v>46</v>
      </c>
      <c r="I439" s="41"/>
      <c r="J439" s="41"/>
      <c r="K439" s="42"/>
      <c r="L439" s="484"/>
      <c r="M439" s="42"/>
      <c r="N439" s="42"/>
      <c r="O439" s="42"/>
      <c r="P439" s="42"/>
      <c r="Q439" s="42"/>
      <c r="R439" s="42"/>
      <c r="S439" s="42"/>
      <c r="T439" s="42"/>
      <c r="U439" s="42"/>
    </row>
    <row r="440" spans="1:21" ht="18.75" hidden="1" x14ac:dyDescent="0.25">
      <c r="A440" s="214"/>
      <c r="B440" s="156"/>
      <c r="C440" s="156"/>
      <c r="D440" s="156"/>
      <c r="E440" s="156"/>
      <c r="F440" s="156"/>
      <c r="G440" s="181"/>
      <c r="H440" s="131" t="s">
        <v>34</v>
      </c>
      <c r="I440" s="41"/>
      <c r="J440" s="41"/>
      <c r="K440" s="42"/>
      <c r="L440" s="484"/>
      <c r="M440" s="42"/>
      <c r="N440" s="42"/>
      <c r="O440" s="42"/>
      <c r="P440" s="42"/>
      <c r="Q440" s="42"/>
      <c r="R440" s="42"/>
      <c r="S440" s="42"/>
      <c r="T440" s="42"/>
      <c r="U440" s="42"/>
    </row>
    <row r="441" spans="1:21" ht="19.5" hidden="1" x14ac:dyDescent="0.3">
      <c r="A441" s="214"/>
      <c r="B441" s="156"/>
      <c r="C441" s="336" t="s">
        <v>169</v>
      </c>
      <c r="D441" s="156"/>
      <c r="E441" s="156"/>
      <c r="F441" s="156"/>
      <c r="G441" s="181"/>
      <c r="H441" s="129" t="s">
        <v>46</v>
      </c>
      <c r="I441" s="340">
        <f ca="1">IFERROR(__xludf.DUMMYFUNCTION("IMPORTRANGE(""https://docs.google.com/spreadsheets/d/1eHaY18a8A9IcSdp1K8H6x8fbOy06t2VsZHhMHf-1x7Y/edit?usp=sharing"",""แผน!HJ21"")"),0)</f>
        <v>0</v>
      </c>
      <c r="J441" s="340">
        <f t="shared" ref="J441:J442" si="288">J443+J445+J447+J453+J455</f>
        <v>0</v>
      </c>
      <c r="K441" s="515">
        <f t="shared" ref="K441:K442" ca="1" si="289">IF(I441&gt;0,J441*100/I441,0)</f>
        <v>0</v>
      </c>
      <c r="L441" s="484"/>
      <c r="M441" s="42"/>
      <c r="N441" s="42"/>
      <c r="O441" s="42"/>
      <c r="P441" s="42"/>
      <c r="Q441" s="42"/>
      <c r="R441" s="42"/>
      <c r="S441" s="42"/>
      <c r="T441" s="42"/>
      <c r="U441" s="42"/>
    </row>
    <row r="442" spans="1:21" ht="19.5" hidden="1" x14ac:dyDescent="0.3">
      <c r="A442" s="214"/>
      <c r="B442" s="156"/>
      <c r="C442" s="156"/>
      <c r="D442" s="156"/>
      <c r="E442" s="156"/>
      <c r="F442" s="156"/>
      <c r="G442" s="181"/>
      <c r="H442" s="129" t="s">
        <v>34</v>
      </c>
      <c r="I442" s="340">
        <f ca="1">IFERROR(__xludf.DUMMYFUNCTION("IMPORTRANGE(""https://docs.google.com/spreadsheets/d/1eHaY18a8A9IcSdp1K8H6x8fbOy06t2VsZHhMHf-1x7Y/edit?usp=sharing"",""แผน!HK21"")"),0)</f>
        <v>0</v>
      </c>
      <c r="J442" s="340">
        <f t="shared" si="288"/>
        <v>0</v>
      </c>
      <c r="K442" s="515">
        <f t="shared" ca="1" si="289"/>
        <v>0</v>
      </c>
      <c r="L442" s="484"/>
      <c r="M442" s="42"/>
      <c r="N442" s="42"/>
      <c r="O442" s="42"/>
      <c r="P442" s="42"/>
      <c r="Q442" s="42"/>
      <c r="R442" s="42"/>
      <c r="S442" s="42"/>
      <c r="T442" s="42"/>
      <c r="U442" s="42"/>
    </row>
    <row r="443" spans="1:21" ht="18.75" hidden="1" x14ac:dyDescent="0.25">
      <c r="A443" s="214"/>
      <c r="B443" s="156"/>
      <c r="C443" s="156"/>
      <c r="D443" s="426" t="s">
        <v>170</v>
      </c>
      <c r="E443" s="156"/>
      <c r="F443" s="156"/>
      <c r="G443" s="181"/>
      <c r="H443" s="131" t="s">
        <v>46</v>
      </c>
      <c r="I443" s="41"/>
      <c r="J443" s="41"/>
      <c r="K443" s="42"/>
      <c r="L443" s="484"/>
      <c r="M443" s="42"/>
      <c r="N443" s="42"/>
      <c r="O443" s="42"/>
      <c r="P443" s="42"/>
      <c r="Q443" s="42"/>
      <c r="R443" s="42"/>
      <c r="S443" s="42"/>
      <c r="T443" s="42"/>
      <c r="U443" s="42"/>
    </row>
    <row r="444" spans="1:21" ht="18.75" hidden="1" x14ac:dyDescent="0.25">
      <c r="A444" s="214"/>
      <c r="B444" s="156"/>
      <c r="C444" s="156"/>
      <c r="D444" s="156"/>
      <c r="E444" s="156"/>
      <c r="F444" s="156"/>
      <c r="G444" s="181"/>
      <c r="H444" s="131" t="s">
        <v>34</v>
      </c>
      <c r="I444" s="41"/>
      <c r="J444" s="41"/>
      <c r="K444" s="42"/>
      <c r="L444" s="484"/>
      <c r="M444" s="42"/>
      <c r="N444" s="42"/>
      <c r="O444" s="42"/>
      <c r="P444" s="42"/>
      <c r="Q444" s="42"/>
      <c r="R444" s="42"/>
      <c r="S444" s="42"/>
      <c r="T444" s="42"/>
      <c r="U444" s="42"/>
    </row>
    <row r="445" spans="1:21" ht="18.75" hidden="1" x14ac:dyDescent="0.25">
      <c r="A445" s="214"/>
      <c r="B445" s="156"/>
      <c r="C445" s="156"/>
      <c r="D445" s="426" t="s">
        <v>171</v>
      </c>
      <c r="E445" s="156"/>
      <c r="F445" s="156"/>
      <c r="G445" s="181"/>
      <c r="H445" s="131" t="s">
        <v>46</v>
      </c>
      <c r="I445" s="41"/>
      <c r="J445" s="41"/>
      <c r="K445" s="42"/>
      <c r="L445" s="484"/>
      <c r="M445" s="42"/>
      <c r="N445" s="42"/>
      <c r="O445" s="42"/>
      <c r="P445" s="42"/>
      <c r="Q445" s="42"/>
      <c r="R445" s="42"/>
      <c r="S445" s="42"/>
      <c r="T445" s="42"/>
      <c r="U445" s="42"/>
    </row>
    <row r="446" spans="1:21" ht="18.75" hidden="1" x14ac:dyDescent="0.25">
      <c r="A446" s="214"/>
      <c r="B446" s="156"/>
      <c r="C446" s="156"/>
      <c r="D446" s="156"/>
      <c r="E446" s="156"/>
      <c r="F446" s="156"/>
      <c r="G446" s="181"/>
      <c r="H446" s="131" t="s">
        <v>34</v>
      </c>
      <c r="I446" s="41"/>
      <c r="J446" s="41"/>
      <c r="K446" s="42"/>
      <c r="L446" s="484"/>
      <c r="M446" s="42"/>
      <c r="N446" s="42"/>
      <c r="O446" s="42"/>
      <c r="P446" s="42"/>
      <c r="Q446" s="42"/>
      <c r="R446" s="42"/>
      <c r="S446" s="42"/>
      <c r="T446" s="42"/>
      <c r="U446" s="42"/>
    </row>
    <row r="447" spans="1:21" ht="19.5" hidden="1" x14ac:dyDescent="0.3">
      <c r="A447" s="214"/>
      <c r="B447" s="156"/>
      <c r="C447" s="156"/>
      <c r="D447" s="426" t="s">
        <v>172</v>
      </c>
      <c r="E447" s="156"/>
      <c r="F447" s="156"/>
      <c r="G447" s="181"/>
      <c r="H447" s="131" t="s">
        <v>46</v>
      </c>
      <c r="I447" s="41"/>
      <c r="J447" s="340">
        <f t="shared" ref="J447:J448" si="290">J449+J451</f>
        <v>0</v>
      </c>
      <c r="K447" s="42"/>
      <c r="L447" s="484"/>
      <c r="M447" s="42"/>
      <c r="N447" s="42"/>
      <c r="O447" s="42"/>
      <c r="P447" s="42"/>
      <c r="Q447" s="42"/>
      <c r="R447" s="42"/>
      <c r="S447" s="42"/>
      <c r="T447" s="42"/>
      <c r="U447" s="42"/>
    </row>
    <row r="448" spans="1:21" ht="19.5" hidden="1" x14ac:dyDescent="0.3">
      <c r="A448" s="214"/>
      <c r="B448" s="156"/>
      <c r="C448" s="156"/>
      <c r="D448" s="156"/>
      <c r="E448" s="156"/>
      <c r="F448" s="156"/>
      <c r="G448" s="181"/>
      <c r="H448" s="131" t="s">
        <v>34</v>
      </c>
      <c r="I448" s="41"/>
      <c r="J448" s="340">
        <f t="shared" si="290"/>
        <v>0</v>
      </c>
      <c r="K448" s="42"/>
      <c r="L448" s="484"/>
      <c r="M448" s="42"/>
      <c r="N448" s="42"/>
      <c r="O448" s="42"/>
      <c r="P448" s="42"/>
      <c r="Q448" s="42"/>
      <c r="R448" s="42"/>
      <c r="S448" s="42"/>
      <c r="T448" s="42"/>
      <c r="U448" s="42"/>
    </row>
    <row r="449" spans="1:21" ht="18.75" hidden="1" x14ac:dyDescent="0.25">
      <c r="A449" s="214"/>
      <c r="B449" s="156"/>
      <c r="C449" s="156"/>
      <c r="D449" s="156"/>
      <c r="E449" s="426" t="s">
        <v>173</v>
      </c>
      <c r="F449" s="156"/>
      <c r="G449" s="181"/>
      <c r="H449" s="131" t="s">
        <v>46</v>
      </c>
      <c r="I449" s="41"/>
      <c r="J449" s="41"/>
      <c r="K449" s="42"/>
      <c r="L449" s="484"/>
      <c r="M449" s="42"/>
      <c r="N449" s="42"/>
      <c r="O449" s="42"/>
      <c r="P449" s="42"/>
      <c r="Q449" s="42"/>
      <c r="R449" s="42"/>
      <c r="S449" s="42"/>
      <c r="T449" s="42"/>
      <c r="U449" s="42"/>
    </row>
    <row r="450" spans="1:21" ht="18.75" hidden="1" x14ac:dyDescent="0.25">
      <c r="A450" s="214"/>
      <c r="B450" s="156"/>
      <c r="C450" s="156"/>
      <c r="D450" s="156"/>
      <c r="E450" s="156"/>
      <c r="F450" s="156"/>
      <c r="G450" s="181"/>
      <c r="H450" s="131" t="s">
        <v>34</v>
      </c>
      <c r="I450" s="41"/>
      <c r="J450" s="41"/>
      <c r="K450" s="42"/>
      <c r="L450" s="484"/>
      <c r="M450" s="42"/>
      <c r="N450" s="42"/>
      <c r="O450" s="42"/>
      <c r="P450" s="42"/>
      <c r="Q450" s="42"/>
      <c r="R450" s="42"/>
      <c r="S450" s="42"/>
      <c r="T450" s="42"/>
      <c r="U450" s="42"/>
    </row>
    <row r="451" spans="1:21" ht="18.75" hidden="1" x14ac:dyDescent="0.25">
      <c r="A451" s="214"/>
      <c r="B451" s="156"/>
      <c r="C451" s="156"/>
      <c r="D451" s="156"/>
      <c r="E451" s="426" t="s">
        <v>174</v>
      </c>
      <c r="F451" s="156"/>
      <c r="G451" s="181"/>
      <c r="H451" s="131" t="s">
        <v>46</v>
      </c>
      <c r="I451" s="41"/>
      <c r="J451" s="41"/>
      <c r="K451" s="42"/>
      <c r="L451" s="484"/>
      <c r="M451" s="42"/>
      <c r="N451" s="42"/>
      <c r="O451" s="42"/>
      <c r="P451" s="42"/>
      <c r="Q451" s="42"/>
      <c r="R451" s="42"/>
      <c r="S451" s="42"/>
      <c r="T451" s="42"/>
      <c r="U451" s="42"/>
    </row>
    <row r="452" spans="1:21" ht="18.75" hidden="1" x14ac:dyDescent="0.25">
      <c r="A452" s="214"/>
      <c r="B452" s="156"/>
      <c r="C452" s="156"/>
      <c r="D452" s="156"/>
      <c r="E452" s="156"/>
      <c r="F452" s="156"/>
      <c r="G452" s="181"/>
      <c r="H452" s="131" t="s">
        <v>34</v>
      </c>
      <c r="I452" s="41"/>
      <c r="J452" s="41"/>
      <c r="K452" s="42"/>
      <c r="L452" s="484"/>
      <c r="M452" s="42"/>
      <c r="N452" s="42"/>
      <c r="O452" s="42"/>
      <c r="P452" s="42"/>
      <c r="Q452" s="42"/>
      <c r="R452" s="42"/>
      <c r="S452" s="42"/>
      <c r="T452" s="42"/>
      <c r="U452" s="42"/>
    </row>
    <row r="453" spans="1:21" ht="18.75" hidden="1" x14ac:dyDescent="0.25">
      <c r="A453" s="214"/>
      <c r="B453" s="156"/>
      <c r="C453" s="156"/>
      <c r="D453" s="426" t="s">
        <v>175</v>
      </c>
      <c r="E453" s="156"/>
      <c r="F453" s="156"/>
      <c r="G453" s="181"/>
      <c r="H453" s="131" t="s">
        <v>46</v>
      </c>
      <c r="I453" s="41"/>
      <c r="J453" s="41"/>
      <c r="K453" s="42"/>
      <c r="L453" s="484"/>
      <c r="M453" s="42"/>
      <c r="N453" s="42"/>
      <c r="O453" s="42"/>
      <c r="P453" s="42"/>
      <c r="Q453" s="42"/>
      <c r="R453" s="42"/>
      <c r="S453" s="42"/>
      <c r="T453" s="42"/>
      <c r="U453" s="42"/>
    </row>
    <row r="454" spans="1:21" ht="18.75" hidden="1" x14ac:dyDescent="0.25">
      <c r="A454" s="214"/>
      <c r="B454" s="156"/>
      <c r="C454" s="156"/>
      <c r="D454" s="156"/>
      <c r="E454" s="156"/>
      <c r="F454" s="156"/>
      <c r="G454" s="181"/>
      <c r="H454" s="131" t="s">
        <v>34</v>
      </c>
      <c r="I454" s="41"/>
      <c r="J454" s="41"/>
      <c r="K454" s="42"/>
      <c r="L454" s="484"/>
      <c r="M454" s="42"/>
      <c r="N454" s="42"/>
      <c r="O454" s="42"/>
      <c r="P454" s="42"/>
      <c r="Q454" s="42"/>
      <c r="R454" s="42"/>
      <c r="S454" s="42"/>
      <c r="T454" s="42"/>
      <c r="U454" s="42"/>
    </row>
    <row r="455" spans="1:21" ht="18.75" hidden="1" x14ac:dyDescent="0.25">
      <c r="A455" s="214"/>
      <c r="B455" s="156"/>
      <c r="C455" s="156"/>
      <c r="D455" s="426" t="s">
        <v>176</v>
      </c>
      <c r="E455" s="156"/>
      <c r="F455" s="156"/>
      <c r="G455" s="181"/>
      <c r="H455" s="131" t="s">
        <v>46</v>
      </c>
      <c r="I455" s="41"/>
      <c r="J455" s="665"/>
      <c r="K455" s="42"/>
      <c r="L455" s="484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ht="18.75" hidden="1" x14ac:dyDescent="0.25">
      <c r="A456" s="214"/>
      <c r="B456" s="156"/>
      <c r="C456" s="156"/>
      <c r="D456" s="156"/>
      <c r="E456" s="156"/>
      <c r="F456" s="156"/>
      <c r="G456" s="181"/>
      <c r="H456" s="131" t="s">
        <v>34</v>
      </c>
      <c r="I456" s="41"/>
      <c r="J456" s="41"/>
      <c r="K456" s="42"/>
      <c r="L456" s="484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ht="19.5" hidden="1" x14ac:dyDescent="0.3">
      <c r="A457" s="214"/>
      <c r="B457" s="336" t="s">
        <v>177</v>
      </c>
      <c r="C457" s="156"/>
      <c r="D457" s="156"/>
      <c r="E457" s="156"/>
      <c r="F457" s="156"/>
      <c r="G457" s="181"/>
      <c r="H457" s="334" t="s">
        <v>46</v>
      </c>
      <c r="I457" s="340">
        <f t="shared" ref="I457:J457" ca="1" si="291">I458</f>
        <v>0</v>
      </c>
      <c r="J457" s="340">
        <f t="shared" si="291"/>
        <v>0</v>
      </c>
      <c r="K457" s="515">
        <f t="shared" ref="K457:K459" ca="1" si="292">IF(I457&gt;0,J457*100/I457,0)</f>
        <v>0</v>
      </c>
      <c r="L457" s="484"/>
      <c r="M457" s="42"/>
      <c r="N457" s="42"/>
      <c r="O457" s="42"/>
      <c r="P457" s="42"/>
      <c r="Q457" s="42"/>
      <c r="R457" s="42"/>
      <c r="S457" s="42"/>
      <c r="T457" s="42"/>
      <c r="U457" s="42"/>
    </row>
    <row r="458" spans="1:21" ht="19.5" hidden="1" x14ac:dyDescent="0.3">
      <c r="A458" s="214"/>
      <c r="B458" s="156"/>
      <c r="C458" s="336" t="s">
        <v>178</v>
      </c>
      <c r="D458" s="156"/>
      <c r="E458" s="156"/>
      <c r="F458" s="156"/>
      <c r="G458" s="181"/>
      <c r="H458" s="129" t="s">
        <v>46</v>
      </c>
      <c r="I458" s="340">
        <f ca="1">IFERROR(__xludf.DUMMYFUNCTION("IMPORTRANGE(""https://docs.google.com/spreadsheets/d/1eHaY18a8A9IcSdp1K8H6x8fbOy06t2VsZHhMHf-1x7Y/edit?usp=sharing"",""แผน!HL21"")"),0)</f>
        <v>0</v>
      </c>
      <c r="J458" s="340">
        <f t="shared" ref="J458:J459" si="293">J460+J468+J474</f>
        <v>0</v>
      </c>
      <c r="K458" s="515">
        <f t="shared" ca="1" si="292"/>
        <v>0</v>
      </c>
      <c r="L458" s="484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ht="19.5" hidden="1" x14ac:dyDescent="0.3">
      <c r="A459" s="214"/>
      <c r="B459" s="156"/>
      <c r="C459" s="156"/>
      <c r="D459" s="156"/>
      <c r="E459" s="156"/>
      <c r="F459" s="156"/>
      <c r="G459" s="181"/>
      <c r="H459" s="129" t="s">
        <v>34</v>
      </c>
      <c r="I459" s="340">
        <f ca="1">IFERROR(__xludf.DUMMYFUNCTION("IMPORTRANGE(""https://docs.google.com/spreadsheets/d/1eHaY18a8A9IcSdp1K8H6x8fbOy06t2VsZHhMHf-1x7Y/edit?usp=sharing"",""แผน!HM21"")"),0)</f>
        <v>0</v>
      </c>
      <c r="J459" s="340">
        <f t="shared" si="293"/>
        <v>0</v>
      </c>
      <c r="K459" s="515">
        <f t="shared" ca="1" si="292"/>
        <v>0</v>
      </c>
      <c r="L459" s="484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ht="18.75" hidden="1" x14ac:dyDescent="0.25">
      <c r="A460" s="214"/>
      <c r="B460" s="156"/>
      <c r="C460" s="426" t="s">
        <v>179</v>
      </c>
      <c r="D460" s="156"/>
      <c r="E460" s="156"/>
      <c r="F460" s="156"/>
      <c r="G460" s="181"/>
      <c r="H460" s="131" t="s">
        <v>46</v>
      </c>
      <c r="I460" s="41"/>
      <c r="J460" s="189">
        <f t="shared" ref="J460:J461" si="294">J462+J464</f>
        <v>0</v>
      </c>
      <c r="K460" s="42"/>
      <c r="L460" s="484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ht="18.75" hidden="1" x14ac:dyDescent="0.25">
      <c r="A461" s="214"/>
      <c r="B461" s="156"/>
      <c r="C461" s="156"/>
      <c r="D461" s="156"/>
      <c r="E461" s="156"/>
      <c r="F461" s="156"/>
      <c r="G461" s="181"/>
      <c r="H461" s="131" t="s">
        <v>34</v>
      </c>
      <c r="I461" s="41"/>
      <c r="J461" s="189">
        <f t="shared" si="294"/>
        <v>0</v>
      </c>
      <c r="K461" s="42"/>
      <c r="L461" s="484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ht="18.75" hidden="1" x14ac:dyDescent="0.25">
      <c r="A462" s="214"/>
      <c r="B462" s="156"/>
      <c r="C462" s="156"/>
      <c r="D462" s="338" t="s">
        <v>180</v>
      </c>
      <c r="E462" s="156"/>
      <c r="F462" s="156"/>
      <c r="G462" s="181"/>
      <c r="H462" s="131" t="s">
        <v>46</v>
      </c>
      <c r="I462" s="41"/>
      <c r="J462" s="41"/>
      <c r="K462" s="42"/>
      <c r="L462" s="484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ht="18.75" hidden="1" x14ac:dyDescent="0.25">
      <c r="A463" s="214"/>
      <c r="B463" s="156"/>
      <c r="C463" s="156"/>
      <c r="D463" s="156"/>
      <c r="E463" s="156"/>
      <c r="F463" s="156"/>
      <c r="G463" s="181"/>
      <c r="H463" s="131" t="s">
        <v>34</v>
      </c>
      <c r="I463" s="41"/>
      <c r="J463" s="41"/>
      <c r="K463" s="42"/>
      <c r="L463" s="484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ht="18.75" hidden="1" x14ac:dyDescent="0.25">
      <c r="A464" s="214"/>
      <c r="B464" s="156"/>
      <c r="C464" s="156"/>
      <c r="D464" s="338" t="s">
        <v>181</v>
      </c>
      <c r="E464" s="156"/>
      <c r="F464" s="156"/>
      <c r="G464" s="181"/>
      <c r="H464" s="131" t="s">
        <v>46</v>
      </c>
      <c r="I464" s="41"/>
      <c r="J464" s="41"/>
      <c r="K464" s="42"/>
      <c r="L464" s="484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ht="18.75" hidden="1" x14ac:dyDescent="0.25">
      <c r="A465" s="214"/>
      <c r="B465" s="156"/>
      <c r="C465" s="156"/>
      <c r="D465" s="156"/>
      <c r="E465" s="156"/>
      <c r="F465" s="156"/>
      <c r="G465" s="181"/>
      <c r="H465" s="131" t="s">
        <v>34</v>
      </c>
      <c r="I465" s="41"/>
      <c r="J465" s="41"/>
      <c r="K465" s="42"/>
      <c r="L465" s="484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ht="18.75" hidden="1" x14ac:dyDescent="0.25">
      <c r="A466" s="214"/>
      <c r="B466" s="156"/>
      <c r="C466" s="156"/>
      <c r="D466" s="338" t="s">
        <v>182</v>
      </c>
      <c r="E466" s="156"/>
      <c r="F466" s="156"/>
      <c r="G466" s="181"/>
      <c r="H466" s="131" t="s">
        <v>46</v>
      </c>
      <c r="I466" s="41"/>
      <c r="J466" s="41"/>
      <c r="K466" s="42"/>
      <c r="L466" s="484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ht="18.75" hidden="1" x14ac:dyDescent="0.25">
      <c r="A467" s="214"/>
      <c r="B467" s="156"/>
      <c r="C467" s="156"/>
      <c r="D467" s="156"/>
      <c r="E467" s="156"/>
      <c r="F467" s="156"/>
      <c r="G467" s="181"/>
      <c r="H467" s="131" t="s">
        <v>34</v>
      </c>
      <c r="I467" s="41"/>
      <c r="J467" s="41"/>
      <c r="K467" s="42"/>
      <c r="L467" s="484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ht="18.75" hidden="1" x14ac:dyDescent="0.25">
      <c r="A468" s="214"/>
      <c r="B468" s="156"/>
      <c r="C468" s="338" t="s">
        <v>183</v>
      </c>
      <c r="D468" s="156"/>
      <c r="E468" s="156"/>
      <c r="F468" s="156"/>
      <c r="G468" s="181"/>
      <c r="H468" s="131" t="s">
        <v>46</v>
      </c>
      <c r="I468" s="41"/>
      <c r="J468" s="189">
        <f t="shared" ref="J468:J469" si="295">J470+J472</f>
        <v>0</v>
      </c>
      <c r="K468" s="42"/>
      <c r="L468" s="484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ht="18.75" hidden="1" x14ac:dyDescent="0.25">
      <c r="A469" s="214"/>
      <c r="B469" s="156"/>
      <c r="C469" s="156"/>
      <c r="D469" s="156"/>
      <c r="E469" s="156"/>
      <c r="F469" s="156"/>
      <c r="G469" s="181"/>
      <c r="H469" s="131" t="s">
        <v>34</v>
      </c>
      <c r="I469" s="41"/>
      <c r="J469" s="189">
        <f t="shared" si="295"/>
        <v>0</v>
      </c>
      <c r="K469" s="42"/>
      <c r="L469" s="484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ht="18.75" hidden="1" x14ac:dyDescent="0.25">
      <c r="A470" s="214"/>
      <c r="B470" s="156"/>
      <c r="C470" s="156"/>
      <c r="D470" s="338" t="s">
        <v>184</v>
      </c>
      <c r="E470" s="156"/>
      <c r="F470" s="156"/>
      <c r="G470" s="181"/>
      <c r="H470" s="131" t="s">
        <v>46</v>
      </c>
      <c r="I470" s="41"/>
      <c r="J470" s="41"/>
      <c r="K470" s="42"/>
      <c r="L470" s="484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ht="18.75" hidden="1" x14ac:dyDescent="0.25">
      <c r="A471" s="214"/>
      <c r="B471" s="156"/>
      <c r="C471" s="156"/>
      <c r="D471" s="156"/>
      <c r="E471" s="156"/>
      <c r="F471" s="156"/>
      <c r="G471" s="181"/>
      <c r="H471" s="131" t="s">
        <v>34</v>
      </c>
      <c r="I471" s="41"/>
      <c r="J471" s="41"/>
      <c r="K471" s="42"/>
      <c r="L471" s="484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ht="18.75" hidden="1" x14ac:dyDescent="0.25">
      <c r="A472" s="214"/>
      <c r="B472" s="156"/>
      <c r="C472" s="156"/>
      <c r="D472" s="338" t="s">
        <v>185</v>
      </c>
      <c r="E472" s="156"/>
      <c r="F472" s="156"/>
      <c r="G472" s="181"/>
      <c r="H472" s="131" t="s">
        <v>46</v>
      </c>
      <c r="I472" s="41"/>
      <c r="J472" s="41"/>
      <c r="K472" s="42"/>
      <c r="L472" s="484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ht="18.75" hidden="1" x14ac:dyDescent="0.25">
      <c r="A473" s="214"/>
      <c r="B473" s="156"/>
      <c r="C473" s="156"/>
      <c r="D473" s="156"/>
      <c r="E473" s="156"/>
      <c r="F473" s="156"/>
      <c r="G473" s="181"/>
      <c r="H473" s="131" t="s">
        <v>34</v>
      </c>
      <c r="I473" s="41"/>
      <c r="J473" s="41"/>
      <c r="K473" s="42"/>
      <c r="L473" s="484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ht="18.75" hidden="1" x14ac:dyDescent="0.25">
      <c r="A474" s="214"/>
      <c r="B474" s="156"/>
      <c r="C474" s="426" t="s">
        <v>186</v>
      </c>
      <c r="D474" s="156"/>
      <c r="E474" s="156"/>
      <c r="F474" s="156"/>
      <c r="G474" s="181"/>
      <c r="H474" s="131" t="s">
        <v>46</v>
      </c>
      <c r="I474" s="41"/>
      <c r="J474" s="41"/>
      <c r="K474" s="42"/>
      <c r="L474" s="484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ht="18.75" hidden="1" x14ac:dyDescent="0.25">
      <c r="A475" s="214"/>
      <c r="B475" s="156"/>
      <c r="C475" s="156"/>
      <c r="D475" s="156"/>
      <c r="E475" s="156"/>
      <c r="F475" s="156"/>
      <c r="G475" s="181"/>
      <c r="H475" s="131" t="s">
        <v>34</v>
      </c>
      <c r="I475" s="41"/>
      <c r="J475" s="41"/>
      <c r="K475" s="42"/>
      <c r="L475" s="484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ht="19.5" hidden="1" x14ac:dyDescent="0.3">
      <c r="A476" s="214"/>
      <c r="B476" s="339" t="s">
        <v>187</v>
      </c>
      <c r="C476" s="156"/>
      <c r="D476" s="156"/>
      <c r="E476" s="156"/>
      <c r="F476" s="156"/>
      <c r="G476" s="181"/>
      <c r="H476" s="129" t="s">
        <v>46</v>
      </c>
      <c r="I476" s="340">
        <v>0</v>
      </c>
      <c r="J476" s="340">
        <f>J479+J481</f>
        <v>0</v>
      </c>
      <c r="K476" s="515">
        <f t="shared" ref="K476:K478" si="296">IF(I476&gt;0,J476*100/I476,0)</f>
        <v>0</v>
      </c>
      <c r="L476" s="484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ht="19.5" hidden="1" x14ac:dyDescent="0.3">
      <c r="A477" s="214"/>
      <c r="B477" s="156"/>
      <c r="C477" s="336" t="s">
        <v>188</v>
      </c>
      <c r="D477" s="156"/>
      <c r="E477" s="156"/>
      <c r="F477" s="156"/>
      <c r="G477" s="181"/>
      <c r="H477" s="129" t="s">
        <v>46</v>
      </c>
      <c r="I477" s="340">
        <v>0</v>
      </c>
      <c r="J477" s="340">
        <f t="shared" ref="J477:J478" si="297">J479+J481</f>
        <v>0</v>
      </c>
      <c r="K477" s="515">
        <f t="shared" si="296"/>
        <v>0</v>
      </c>
      <c r="L477" s="484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ht="19.5" hidden="1" x14ac:dyDescent="0.3">
      <c r="A478" s="214"/>
      <c r="B478" s="156"/>
      <c r="C478" s="426" t="s">
        <v>189</v>
      </c>
      <c r="D478" s="156"/>
      <c r="E478" s="156"/>
      <c r="F478" s="156"/>
      <c r="G478" s="181"/>
      <c r="H478" s="129" t="s">
        <v>34</v>
      </c>
      <c r="I478" s="340">
        <v>0</v>
      </c>
      <c r="J478" s="340">
        <f t="shared" si="297"/>
        <v>0</v>
      </c>
      <c r="K478" s="515">
        <f t="shared" si="296"/>
        <v>0</v>
      </c>
      <c r="L478" s="484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ht="18.75" hidden="1" x14ac:dyDescent="0.25">
      <c r="A479" s="214"/>
      <c r="B479" s="156"/>
      <c r="C479" s="156"/>
      <c r="D479" s="426" t="s">
        <v>190</v>
      </c>
      <c r="E479" s="156"/>
      <c r="F479" s="156"/>
      <c r="G479" s="181"/>
      <c r="H479" s="131" t="s">
        <v>46</v>
      </c>
      <c r="I479" s="41"/>
      <c r="J479" s="41"/>
      <c r="K479" s="42"/>
      <c r="L479" s="484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ht="18.75" hidden="1" x14ac:dyDescent="0.25">
      <c r="A480" s="214"/>
      <c r="B480" s="156"/>
      <c r="C480" s="156"/>
      <c r="D480" s="156"/>
      <c r="E480" s="156"/>
      <c r="F480" s="156"/>
      <c r="G480" s="181"/>
      <c r="H480" s="131" t="s">
        <v>34</v>
      </c>
      <c r="I480" s="41"/>
      <c r="J480" s="41"/>
      <c r="K480" s="42"/>
      <c r="L480" s="484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ht="18.75" hidden="1" x14ac:dyDescent="0.25">
      <c r="A481" s="214"/>
      <c r="B481" s="156"/>
      <c r="C481" s="156"/>
      <c r="D481" s="338" t="s">
        <v>191</v>
      </c>
      <c r="E481" s="156"/>
      <c r="F481" s="156"/>
      <c r="G481" s="181"/>
      <c r="H481" s="131" t="s">
        <v>46</v>
      </c>
      <c r="I481" s="41"/>
      <c r="J481" s="41"/>
      <c r="K481" s="42"/>
      <c r="L481" s="484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ht="18.75" hidden="1" x14ac:dyDescent="0.25">
      <c r="A482" s="214"/>
      <c r="B482" s="156"/>
      <c r="C482" s="156"/>
      <c r="D482" s="156"/>
      <c r="E482" s="156"/>
      <c r="F482" s="156"/>
      <c r="G482" s="181"/>
      <c r="H482" s="131" t="s">
        <v>34</v>
      </c>
      <c r="I482" s="41"/>
      <c r="J482" s="41"/>
      <c r="K482" s="42"/>
      <c r="L482" s="484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ht="18.75" hidden="1" x14ac:dyDescent="0.25">
      <c r="A483" s="214"/>
      <c r="B483" s="156"/>
      <c r="C483" s="156"/>
      <c r="D483" s="338" t="s">
        <v>192</v>
      </c>
      <c r="E483" s="156"/>
      <c r="F483" s="156"/>
      <c r="G483" s="181"/>
      <c r="H483" s="131" t="s">
        <v>46</v>
      </c>
      <c r="I483" s="41"/>
      <c r="J483" s="189">
        <f ca="1">IFERROR(__xludf.DUMMYFUNCTION("IMPORTRANGE(""https://docs.google.com/spreadsheets/d/1eHaY18a8A9IcSdp1K8H6x8fbOy06t2VsZHhMHf-1x7Y/edit?usp=sharing"",""แผน!HN21"")"),0)</f>
        <v>0</v>
      </c>
      <c r="K483" s="42"/>
      <c r="L483" s="484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ht="18.75" hidden="1" x14ac:dyDescent="0.25">
      <c r="A484" s="214"/>
      <c r="B484" s="156"/>
      <c r="C484" s="156"/>
      <c r="D484" s="156"/>
      <c r="E484" s="156"/>
      <c r="F484" s="156"/>
      <c r="G484" s="181"/>
      <c r="H484" s="131" t="s">
        <v>34</v>
      </c>
      <c r="I484" s="41"/>
      <c r="J484" s="189">
        <f ca="1">IFERROR(__xludf.DUMMYFUNCTION("IMPORTRANGE(""https://docs.google.com/spreadsheets/d/1eHaY18a8A9IcSdp1K8H6x8fbOy06t2VsZHhMHf-1x7Y/edit?usp=sharing"",""แผน!HO21"")"),0)</f>
        <v>0</v>
      </c>
      <c r="K484" s="42"/>
      <c r="L484" s="484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ht="19.5" hidden="1" x14ac:dyDescent="0.3">
      <c r="A485" s="214"/>
      <c r="B485" s="156"/>
      <c r="C485" s="336" t="s">
        <v>193</v>
      </c>
      <c r="D485" s="156"/>
      <c r="E485" s="156"/>
      <c r="F485" s="156"/>
      <c r="G485" s="181"/>
      <c r="H485" s="129" t="s">
        <v>46</v>
      </c>
      <c r="I485" s="41">
        <f t="shared" ref="I485:I486" si="298">J481</f>
        <v>0</v>
      </c>
      <c r="J485" s="340">
        <f t="shared" ref="J485:J486" si="299">J487+J489+J491</f>
        <v>0</v>
      </c>
      <c r="K485" s="515">
        <f t="shared" ref="K485:K486" si="300">IF(I485&gt;0,J485*100/I485,0)</f>
        <v>0</v>
      </c>
      <c r="L485" s="484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ht="19.5" hidden="1" x14ac:dyDescent="0.3">
      <c r="A486" s="214"/>
      <c r="B486" s="156"/>
      <c r="C486" s="426" t="s">
        <v>194</v>
      </c>
      <c r="D486" s="156"/>
      <c r="E486" s="156"/>
      <c r="F486" s="156"/>
      <c r="G486" s="181"/>
      <c r="H486" s="129" t="s">
        <v>34</v>
      </c>
      <c r="I486" s="41">
        <f t="shared" si="298"/>
        <v>0</v>
      </c>
      <c r="J486" s="340">
        <f t="shared" si="299"/>
        <v>0</v>
      </c>
      <c r="K486" s="515">
        <f t="shared" si="300"/>
        <v>0</v>
      </c>
      <c r="L486" s="484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ht="18.75" hidden="1" x14ac:dyDescent="0.25">
      <c r="A487" s="214"/>
      <c r="B487" s="156"/>
      <c r="C487" s="156"/>
      <c r="D487" s="338" t="s">
        <v>195</v>
      </c>
      <c r="E487" s="156"/>
      <c r="F487" s="156"/>
      <c r="G487" s="181"/>
      <c r="H487" s="131" t="s">
        <v>46</v>
      </c>
      <c r="I487" s="41"/>
      <c r="J487" s="41"/>
      <c r="K487" s="42"/>
      <c r="L487" s="484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ht="18.75" hidden="1" x14ac:dyDescent="0.25">
      <c r="A488" s="214"/>
      <c r="B488" s="156"/>
      <c r="C488" s="156"/>
      <c r="D488" s="156"/>
      <c r="E488" s="156"/>
      <c r="F488" s="156"/>
      <c r="G488" s="181"/>
      <c r="H488" s="131" t="s">
        <v>34</v>
      </c>
      <c r="I488" s="41"/>
      <c r="J488" s="41"/>
      <c r="K488" s="42"/>
      <c r="L488" s="484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ht="18.75" hidden="1" x14ac:dyDescent="0.25">
      <c r="A489" s="214"/>
      <c r="B489" s="156"/>
      <c r="C489" s="156"/>
      <c r="D489" s="338" t="s">
        <v>196</v>
      </c>
      <c r="E489" s="156"/>
      <c r="F489" s="156"/>
      <c r="G489" s="181"/>
      <c r="H489" s="131" t="s">
        <v>46</v>
      </c>
      <c r="I489" s="41"/>
      <c r="J489" s="41"/>
      <c r="K489" s="42"/>
      <c r="L489" s="484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ht="18.75" hidden="1" x14ac:dyDescent="0.25">
      <c r="A490" s="214"/>
      <c r="B490" s="156"/>
      <c r="C490" s="156"/>
      <c r="D490" s="156"/>
      <c r="E490" s="156"/>
      <c r="F490" s="156"/>
      <c r="G490" s="181"/>
      <c r="H490" s="131" t="s">
        <v>34</v>
      </c>
      <c r="I490" s="41"/>
      <c r="J490" s="41"/>
      <c r="K490" s="42"/>
      <c r="L490" s="484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ht="18.75" hidden="1" x14ac:dyDescent="0.25">
      <c r="A491" s="214"/>
      <c r="B491" s="156"/>
      <c r="C491" s="156"/>
      <c r="D491" s="338" t="s">
        <v>197</v>
      </c>
      <c r="E491" s="156"/>
      <c r="F491" s="156"/>
      <c r="G491" s="181"/>
      <c r="H491" s="131" t="s">
        <v>46</v>
      </c>
      <c r="I491" s="41"/>
      <c r="J491" s="41"/>
      <c r="K491" s="42"/>
      <c r="L491" s="484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ht="18.75" hidden="1" x14ac:dyDescent="0.25">
      <c r="A492" s="341"/>
      <c r="B492" s="6"/>
      <c r="C492" s="6"/>
      <c r="D492" s="6"/>
      <c r="E492" s="6"/>
      <c r="F492" s="6"/>
      <c r="G492" s="342"/>
      <c r="H492" s="343" t="s">
        <v>34</v>
      </c>
      <c r="I492" s="51"/>
      <c r="J492" s="51"/>
      <c r="K492" s="7"/>
      <c r="L492" s="485"/>
      <c r="M492" s="7"/>
      <c r="N492" s="7"/>
      <c r="O492" s="7"/>
      <c r="P492" s="7"/>
      <c r="Q492" s="7"/>
      <c r="R492" s="7"/>
      <c r="S492" s="7"/>
      <c r="T492" s="7"/>
      <c r="U492" s="7"/>
    </row>
    <row r="493" spans="1:21" ht="19.5" hidden="1" x14ac:dyDescent="0.3">
      <c r="A493" s="308"/>
      <c r="B493" s="321" t="s">
        <v>198</v>
      </c>
      <c r="C493" s="310"/>
      <c r="D493" s="310"/>
      <c r="E493" s="302"/>
      <c r="F493" s="302"/>
      <c r="G493" s="303"/>
      <c r="H493" s="332" t="s">
        <v>35</v>
      </c>
      <c r="I493" s="623">
        <f t="shared" ref="I493:J493" ca="1" si="301">I504</f>
        <v>0</v>
      </c>
      <c r="J493" s="623">
        <f t="shared" ca="1" si="301"/>
        <v>0</v>
      </c>
      <c r="K493" s="624">
        <f ca="1">IF(I493&gt;0,J493*100/I493,0)</f>
        <v>0</v>
      </c>
      <c r="L493" s="625"/>
      <c r="M493" s="307"/>
      <c r="N493" s="307"/>
      <c r="O493" s="307"/>
      <c r="P493" s="307"/>
      <c r="Q493" s="307"/>
      <c r="R493" s="307"/>
      <c r="S493" s="307"/>
      <c r="T493" s="307"/>
      <c r="U493" s="307"/>
    </row>
    <row r="494" spans="1:21" ht="19.5" hidden="1" x14ac:dyDescent="0.3">
      <c r="A494" s="126"/>
      <c r="B494" s="156"/>
      <c r="C494" s="178" t="s">
        <v>18</v>
      </c>
      <c r="D494" s="824" t="s">
        <v>19</v>
      </c>
      <c r="E494" s="803"/>
      <c r="F494" s="803"/>
      <c r="G494" s="39"/>
      <c r="H494" s="227" t="s">
        <v>14</v>
      </c>
      <c r="I494" s="41"/>
      <c r="J494" s="41"/>
      <c r="K494" s="42"/>
      <c r="L494" s="514">
        <f t="shared" ref="L494:N494" si="302">L495+L496</f>
        <v>0</v>
      </c>
      <c r="M494" s="515">
        <f t="shared" si="302"/>
        <v>0</v>
      </c>
      <c r="N494" s="515">
        <f t="shared" si="302"/>
        <v>0</v>
      </c>
      <c r="O494" s="515">
        <f t="shared" ref="O494:O502" si="303">IF(L494&gt;0,N494*100/L494,0)</f>
        <v>0</v>
      </c>
      <c r="P494" s="515">
        <f t="shared" ref="P494:P502" si="304">IF(M494&gt;0,N494*100/M494,0)</f>
        <v>0</v>
      </c>
      <c r="Q494" s="515">
        <f t="shared" ref="Q494:S494" ca="1" si="305">Q495+Q496</f>
        <v>0</v>
      </c>
      <c r="R494" s="515">
        <f t="shared" ca="1" si="305"/>
        <v>0</v>
      </c>
      <c r="S494" s="515">
        <f t="shared" ca="1" si="305"/>
        <v>0</v>
      </c>
      <c r="T494" s="515">
        <f t="shared" ref="T494:T502" ca="1" si="306">IF(Q494&gt;0,S494*100/Q494,0)</f>
        <v>0</v>
      </c>
      <c r="U494" s="515">
        <f t="shared" ref="U494:U502" ca="1" si="307">IF(R494&gt;0,S494*100/R494,0)</f>
        <v>0</v>
      </c>
    </row>
    <row r="495" spans="1:21" ht="18.75" hidden="1" x14ac:dyDescent="0.25">
      <c r="A495" s="126"/>
      <c r="B495" s="156"/>
      <c r="C495" s="156"/>
      <c r="D495" s="137"/>
      <c r="E495" s="154" t="s">
        <v>158</v>
      </c>
      <c r="F495" s="187"/>
      <c r="G495" s="39"/>
      <c r="H495" s="157" t="s">
        <v>14</v>
      </c>
      <c r="I495" s="41"/>
      <c r="J495" s="41"/>
      <c r="K495" s="42"/>
      <c r="L495" s="483">
        <f t="shared" ref="L495:N496" si="308">L498+L501</f>
        <v>0</v>
      </c>
      <c r="M495" s="80">
        <f t="shared" si="308"/>
        <v>0</v>
      </c>
      <c r="N495" s="80">
        <f t="shared" si="308"/>
        <v>0</v>
      </c>
      <c r="O495" s="80">
        <f t="shared" si="303"/>
        <v>0</v>
      </c>
      <c r="P495" s="80">
        <f t="shared" si="304"/>
        <v>0</v>
      </c>
      <c r="Q495" s="80">
        <f t="shared" ref="Q495:S496" si="309">Q498+Q501</f>
        <v>0</v>
      </c>
      <c r="R495" s="80">
        <f t="shared" si="309"/>
        <v>0</v>
      </c>
      <c r="S495" s="80">
        <f t="shared" si="309"/>
        <v>0</v>
      </c>
      <c r="T495" s="80">
        <f t="shared" si="306"/>
        <v>0</v>
      </c>
      <c r="U495" s="80">
        <f t="shared" si="307"/>
        <v>0</v>
      </c>
    </row>
    <row r="496" spans="1:21" ht="18.75" hidden="1" x14ac:dyDescent="0.25">
      <c r="A496" s="126"/>
      <c r="B496" s="156"/>
      <c r="C496" s="156"/>
      <c r="D496" s="137"/>
      <c r="E496" s="254" t="s">
        <v>159</v>
      </c>
      <c r="F496" s="187"/>
      <c r="G496" s="39"/>
      <c r="H496" s="132" t="s">
        <v>14</v>
      </c>
      <c r="I496" s="41"/>
      <c r="J496" s="41"/>
      <c r="K496" s="42"/>
      <c r="L496" s="481">
        <f t="shared" si="308"/>
        <v>0</v>
      </c>
      <c r="M496" s="230">
        <f t="shared" si="308"/>
        <v>0</v>
      </c>
      <c r="N496" s="230">
        <f t="shared" si="308"/>
        <v>0</v>
      </c>
      <c r="O496" s="230">
        <f t="shared" si="303"/>
        <v>0</v>
      </c>
      <c r="P496" s="230">
        <f t="shared" si="304"/>
        <v>0</v>
      </c>
      <c r="Q496" s="230">
        <f t="shared" ca="1" si="309"/>
        <v>0</v>
      </c>
      <c r="R496" s="230">
        <f t="shared" ca="1" si="309"/>
        <v>0</v>
      </c>
      <c r="S496" s="230">
        <f t="shared" ca="1" si="309"/>
        <v>0</v>
      </c>
      <c r="T496" s="230">
        <f t="shared" ca="1" si="306"/>
        <v>0</v>
      </c>
      <c r="U496" s="230">
        <f t="shared" ca="1" si="307"/>
        <v>0</v>
      </c>
    </row>
    <row r="497" spans="1:21" ht="18.75" hidden="1" x14ac:dyDescent="0.25">
      <c r="A497" s="126"/>
      <c r="B497" s="156"/>
      <c r="C497" s="156"/>
      <c r="D497" s="528" t="s">
        <v>22</v>
      </c>
      <c r="E497" s="187"/>
      <c r="F497" s="187"/>
      <c r="G497" s="39"/>
      <c r="H497" s="132" t="s">
        <v>14</v>
      </c>
      <c r="I497" s="133"/>
      <c r="J497" s="133"/>
      <c r="K497" s="134"/>
      <c r="L497" s="481">
        <f t="shared" ref="L497:N497" si="310">L498+L499</f>
        <v>0</v>
      </c>
      <c r="M497" s="230">
        <f t="shared" si="310"/>
        <v>0</v>
      </c>
      <c r="N497" s="230">
        <f t="shared" si="310"/>
        <v>0</v>
      </c>
      <c r="O497" s="230">
        <f t="shared" si="303"/>
        <v>0</v>
      </c>
      <c r="P497" s="230">
        <f t="shared" si="304"/>
        <v>0</v>
      </c>
      <c r="Q497" s="230">
        <f t="shared" ref="Q497:S497" ca="1" si="311">Q498+Q499</f>
        <v>0</v>
      </c>
      <c r="R497" s="230">
        <f t="shared" ca="1" si="311"/>
        <v>0</v>
      </c>
      <c r="S497" s="230">
        <f t="shared" ca="1" si="311"/>
        <v>0</v>
      </c>
      <c r="T497" s="230">
        <f t="shared" ca="1" si="306"/>
        <v>0</v>
      </c>
      <c r="U497" s="230">
        <f t="shared" ca="1" si="307"/>
        <v>0</v>
      </c>
    </row>
    <row r="498" spans="1:21" ht="18.75" hidden="1" x14ac:dyDescent="0.25">
      <c r="A498" s="126"/>
      <c r="B498" s="156"/>
      <c r="C498" s="156"/>
      <c r="D498" s="137"/>
      <c r="E498" s="154" t="s">
        <v>158</v>
      </c>
      <c r="F498" s="187"/>
      <c r="G498" s="39"/>
      <c r="H498" s="157" t="s">
        <v>14</v>
      </c>
      <c r="I498" s="41"/>
      <c r="J498" s="41"/>
      <c r="K498" s="42"/>
      <c r="L498" s="483">
        <v>0</v>
      </c>
      <c r="M498" s="80">
        <v>0</v>
      </c>
      <c r="N498" s="80">
        <v>0</v>
      </c>
      <c r="O498" s="80">
        <f t="shared" si="303"/>
        <v>0</v>
      </c>
      <c r="P498" s="80">
        <f t="shared" si="304"/>
        <v>0</v>
      </c>
      <c r="Q498" s="80">
        <v>0</v>
      </c>
      <c r="R498" s="80">
        <v>0</v>
      </c>
      <c r="S498" s="80">
        <v>0</v>
      </c>
      <c r="T498" s="80">
        <f t="shared" si="306"/>
        <v>0</v>
      </c>
      <c r="U498" s="80">
        <f t="shared" si="307"/>
        <v>0</v>
      </c>
    </row>
    <row r="499" spans="1:21" ht="18.75" hidden="1" x14ac:dyDescent="0.25">
      <c r="A499" s="126"/>
      <c r="B499" s="156"/>
      <c r="C499" s="156"/>
      <c r="D499" s="137"/>
      <c r="E499" s="254" t="s">
        <v>159</v>
      </c>
      <c r="F499" s="187"/>
      <c r="G499" s="39"/>
      <c r="H499" s="132" t="s">
        <v>14</v>
      </c>
      <c r="I499" s="41"/>
      <c r="J499" s="41"/>
      <c r="K499" s="42"/>
      <c r="L499" s="481">
        <v>0</v>
      </c>
      <c r="M499" s="230">
        <v>0</v>
      </c>
      <c r="N499" s="230">
        <v>0</v>
      </c>
      <c r="O499" s="230">
        <f t="shared" si="303"/>
        <v>0</v>
      </c>
      <c r="P499" s="230">
        <f t="shared" si="304"/>
        <v>0</v>
      </c>
      <c r="Q499" s="230">
        <f ca="1">IFERROR(__xludf.DUMMYFUNCTION("IMPORTRANGE(""https://docs.google.com/spreadsheets/d/1ItG2mGa2ceCfYo0BwxsXqNm01IGEUdYcSSLTEv9YCik/edit?usp=sharing"",""เบิกจ่ายกองทุน!X21"")"),0)</f>
        <v>0</v>
      </c>
      <c r="R499" s="230">
        <f ca="1">IFERROR(__xludf.DUMMYFUNCTION("IMPORTRANGE(""https://docs.google.com/spreadsheets/d/1ItG2mGa2ceCfYo0BwxsXqNm01IGEUdYcSSLTEv9YCik/edit?usp=sharing"",""เบิกจ่ายกองทุน!Y21"")"),0)</f>
        <v>0</v>
      </c>
      <c r="S499" s="230">
        <f ca="1">IFERROR(__xludf.DUMMYFUNCTION("IMPORTRANGE(""https://docs.google.com/spreadsheets/d/1ItG2mGa2ceCfYo0BwxsXqNm01IGEUdYcSSLTEv9YCik/edit?usp=sharing"",""เบิกจ่ายกองทุน!Z21"")"),0)</f>
        <v>0</v>
      </c>
      <c r="T499" s="230">
        <f t="shared" ca="1" si="306"/>
        <v>0</v>
      </c>
      <c r="U499" s="230">
        <f t="shared" ca="1" si="307"/>
        <v>0</v>
      </c>
    </row>
    <row r="500" spans="1:21" ht="18.75" hidden="1" x14ac:dyDescent="0.25">
      <c r="A500" s="126"/>
      <c r="B500" s="156"/>
      <c r="C500" s="156"/>
      <c r="D500" s="528" t="s">
        <v>23</v>
      </c>
      <c r="E500" s="187"/>
      <c r="F500" s="187"/>
      <c r="G500" s="39"/>
      <c r="H500" s="135" t="s">
        <v>14</v>
      </c>
      <c r="I500" s="133"/>
      <c r="J500" s="133"/>
      <c r="K500" s="134"/>
      <c r="L500" s="481">
        <f t="shared" ref="L500:N500" si="312">L501+L502</f>
        <v>0</v>
      </c>
      <c r="M500" s="230">
        <f t="shared" si="312"/>
        <v>0</v>
      </c>
      <c r="N500" s="230">
        <f t="shared" si="312"/>
        <v>0</v>
      </c>
      <c r="O500" s="230">
        <f t="shared" si="303"/>
        <v>0</v>
      </c>
      <c r="P500" s="230">
        <f t="shared" si="304"/>
        <v>0</v>
      </c>
      <c r="Q500" s="230">
        <f t="shared" ref="Q500:S500" si="313">Q501+Q502</f>
        <v>0</v>
      </c>
      <c r="R500" s="230">
        <f t="shared" si="313"/>
        <v>0</v>
      </c>
      <c r="S500" s="230">
        <f t="shared" si="313"/>
        <v>0</v>
      </c>
      <c r="T500" s="230">
        <f t="shared" si="306"/>
        <v>0</v>
      </c>
      <c r="U500" s="230">
        <f t="shared" si="307"/>
        <v>0</v>
      </c>
    </row>
    <row r="501" spans="1:21" ht="18.75" hidden="1" x14ac:dyDescent="0.25">
      <c r="A501" s="126"/>
      <c r="B501" s="156"/>
      <c r="C501" s="156"/>
      <c r="D501" s="156"/>
      <c r="E501" s="154" t="s">
        <v>20</v>
      </c>
      <c r="F501" s="187"/>
      <c r="G501" s="39"/>
      <c r="H501" s="157" t="s">
        <v>14</v>
      </c>
      <c r="I501" s="133"/>
      <c r="J501" s="133"/>
      <c r="K501" s="134"/>
      <c r="L501" s="483">
        <v>0</v>
      </c>
      <c r="M501" s="80">
        <v>0</v>
      </c>
      <c r="N501" s="80">
        <v>0</v>
      </c>
      <c r="O501" s="80">
        <f t="shared" si="303"/>
        <v>0</v>
      </c>
      <c r="P501" s="80">
        <f t="shared" si="304"/>
        <v>0</v>
      </c>
      <c r="Q501" s="80">
        <v>0</v>
      </c>
      <c r="R501" s="80">
        <v>0</v>
      </c>
      <c r="S501" s="80">
        <v>0</v>
      </c>
      <c r="T501" s="80">
        <f t="shared" si="306"/>
        <v>0</v>
      </c>
      <c r="U501" s="80">
        <f t="shared" si="307"/>
        <v>0</v>
      </c>
    </row>
    <row r="502" spans="1:21" ht="18.75" hidden="1" x14ac:dyDescent="0.25">
      <c r="A502" s="126"/>
      <c r="B502" s="156"/>
      <c r="C502" s="156"/>
      <c r="D502" s="156"/>
      <c r="E502" s="254" t="s">
        <v>21</v>
      </c>
      <c r="F502" s="187"/>
      <c r="G502" s="39"/>
      <c r="H502" s="135" t="s">
        <v>14</v>
      </c>
      <c r="I502" s="133"/>
      <c r="J502" s="133"/>
      <c r="K502" s="134"/>
      <c r="L502" s="481">
        <v>0</v>
      </c>
      <c r="M502" s="230">
        <v>0</v>
      </c>
      <c r="N502" s="230">
        <v>0</v>
      </c>
      <c r="O502" s="230">
        <f t="shared" si="303"/>
        <v>0</v>
      </c>
      <c r="P502" s="230">
        <f t="shared" si="304"/>
        <v>0</v>
      </c>
      <c r="Q502" s="230">
        <v>0</v>
      </c>
      <c r="R502" s="230">
        <v>0</v>
      </c>
      <c r="S502" s="230">
        <v>0</v>
      </c>
      <c r="T502" s="230">
        <f t="shared" si="306"/>
        <v>0</v>
      </c>
      <c r="U502" s="230">
        <f t="shared" si="307"/>
        <v>0</v>
      </c>
    </row>
    <row r="503" spans="1:21" ht="19.5" hidden="1" x14ac:dyDescent="0.3">
      <c r="A503" s="136"/>
      <c r="B503" s="137"/>
      <c r="C503" s="178" t="s">
        <v>18</v>
      </c>
      <c r="D503" s="657" t="s">
        <v>38</v>
      </c>
      <c r="E503" s="139"/>
      <c r="F503" s="139"/>
      <c r="G503" s="140"/>
      <c r="H503" s="179"/>
      <c r="I503" s="133"/>
      <c r="J503" s="133"/>
      <c r="K503" s="134"/>
      <c r="L503" s="517"/>
      <c r="M503" s="134"/>
      <c r="N503" s="134"/>
      <c r="O503" s="134"/>
      <c r="P503" s="134"/>
      <c r="Q503" s="134"/>
      <c r="R503" s="134"/>
      <c r="S503" s="134"/>
      <c r="T503" s="134"/>
      <c r="U503" s="134"/>
    </row>
    <row r="504" spans="1:21" ht="19.5" hidden="1" x14ac:dyDescent="0.3">
      <c r="A504" s="214"/>
      <c r="B504" s="156"/>
      <c r="C504" s="156"/>
      <c r="D504" s="336" t="s">
        <v>199</v>
      </c>
      <c r="E504" s="187"/>
      <c r="F504" s="187"/>
      <c r="G504" s="39"/>
      <c r="H504" s="131" t="s">
        <v>35</v>
      </c>
      <c r="I504" s="340">
        <f ca="1">IFERROR(__xludf.DUMMYFUNCTION("IMPORTRANGE(""https://docs.google.com/spreadsheets/d/1eHaY18a8A9IcSdp1K8H6x8fbOy06t2VsZHhMHf-1x7Y/edit?usp=sharing"",""แผน!GX21"")"),0)</f>
        <v>0</v>
      </c>
      <c r="J504" s="340">
        <f ca="1">IF(AND(J505=I505,J506=I506,J507=I507,J508=I508),I504,0)</f>
        <v>0</v>
      </c>
      <c r="K504" s="515">
        <f t="shared" ref="K504:K510" ca="1" si="314">IF(I504&gt;0,J504*100/I504,0)</f>
        <v>0</v>
      </c>
      <c r="L504" s="484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1:21" ht="18.75" hidden="1" x14ac:dyDescent="0.25">
      <c r="A505" s="214"/>
      <c r="B505" s="156"/>
      <c r="C505" s="156"/>
      <c r="D505" s="156"/>
      <c r="E505" s="254" t="s">
        <v>200</v>
      </c>
      <c r="F505" s="187"/>
      <c r="G505" s="39"/>
      <c r="H505" s="131" t="s">
        <v>35</v>
      </c>
      <c r="I505" s="189">
        <f ca="1">IFERROR(__xludf.DUMMYFUNCTION("IMPORTRANGE(""https://docs.google.com/spreadsheets/d/1eHaY18a8A9IcSdp1K8H6x8fbOy06t2VsZHhMHf-1x7Y/edit?usp=sharing"",""แผน!GY21"")"),0)</f>
        <v>0</v>
      </c>
      <c r="J505" s="520">
        <v>0</v>
      </c>
      <c r="K505" s="230">
        <f t="shared" ca="1" si="314"/>
        <v>0</v>
      </c>
      <c r="L505" s="484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1:21" ht="18.75" hidden="1" x14ac:dyDescent="0.25">
      <c r="A506" s="214"/>
      <c r="B506" s="156"/>
      <c r="C506" s="156"/>
      <c r="D506" s="156"/>
      <c r="E506" s="254" t="s">
        <v>201</v>
      </c>
      <c r="F506" s="187"/>
      <c r="G506" s="39"/>
      <c r="H506" s="131" t="s">
        <v>35</v>
      </c>
      <c r="I506" s="189">
        <f ca="1">IFERROR(__xludf.DUMMYFUNCTION("IMPORTRANGE(""https://docs.google.com/spreadsheets/d/1eHaY18a8A9IcSdp1K8H6x8fbOy06t2VsZHhMHf-1x7Y/edit?usp=sharing"",""แผน!GZ21"")"),0)</f>
        <v>0</v>
      </c>
      <c r="J506" s="520">
        <v>0</v>
      </c>
      <c r="K506" s="230">
        <f t="shared" ca="1" si="314"/>
        <v>0</v>
      </c>
      <c r="L506" s="484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1:21" ht="18.75" hidden="1" x14ac:dyDescent="0.25">
      <c r="A507" s="214"/>
      <c r="B507" s="156"/>
      <c r="C507" s="156"/>
      <c r="D507" s="156"/>
      <c r="E507" s="254" t="s">
        <v>202</v>
      </c>
      <c r="F507" s="187"/>
      <c r="G507" s="39"/>
      <c r="H507" s="131" t="s">
        <v>35</v>
      </c>
      <c r="I507" s="189">
        <f ca="1">IFERROR(__xludf.DUMMYFUNCTION("IMPORTRANGE(""https://docs.google.com/spreadsheets/d/1eHaY18a8A9IcSdp1K8H6x8fbOy06t2VsZHhMHf-1x7Y/edit?usp=sharing"",""แผน!HA21"")"),0)</f>
        <v>0</v>
      </c>
      <c r="J507" s="520">
        <v>0</v>
      </c>
      <c r="K507" s="230">
        <f t="shared" ca="1" si="314"/>
        <v>0</v>
      </c>
      <c r="L507" s="484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1:21" ht="18.75" hidden="1" x14ac:dyDescent="0.25">
      <c r="A508" s="214"/>
      <c r="B508" s="156"/>
      <c r="C508" s="156"/>
      <c r="D508" s="156"/>
      <c r="E508" s="344" t="s">
        <v>203</v>
      </c>
      <c r="F508" s="187"/>
      <c r="G508" s="39"/>
      <c r="H508" s="131" t="s">
        <v>35</v>
      </c>
      <c r="I508" s="189">
        <f ca="1">IFERROR(__xludf.DUMMYFUNCTION("IMPORTRANGE(""https://docs.google.com/spreadsheets/d/1eHaY18a8A9IcSdp1K8H6x8fbOy06t2VsZHhMHf-1x7Y/edit?usp=sharing"",""แผน!HB21"")"),0)</f>
        <v>0</v>
      </c>
      <c r="J508" s="520">
        <v>0</v>
      </c>
      <c r="K508" s="230">
        <f t="shared" ca="1" si="314"/>
        <v>0</v>
      </c>
      <c r="L508" s="484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1:21" ht="18.75" hidden="1" x14ac:dyDescent="0.25">
      <c r="A509" s="214"/>
      <c r="B509" s="156"/>
      <c r="C509" s="156"/>
      <c r="D509" s="156"/>
      <c r="E509" s="254" t="s">
        <v>204</v>
      </c>
      <c r="F509" s="187"/>
      <c r="G509" s="39"/>
      <c r="H509" s="131" t="s">
        <v>35</v>
      </c>
      <c r="I509" s="189">
        <v>0</v>
      </c>
      <c r="J509" s="189">
        <v>0</v>
      </c>
      <c r="K509" s="230">
        <f t="shared" si="314"/>
        <v>0</v>
      </c>
      <c r="L509" s="484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1:21" ht="19.5" hidden="1" x14ac:dyDescent="0.3">
      <c r="A510" s="341"/>
      <c r="B510" s="6"/>
      <c r="C510" s="6"/>
      <c r="D510" s="345" t="s">
        <v>50</v>
      </c>
      <c r="E510" s="5"/>
      <c r="F510" s="5"/>
      <c r="G510" s="49"/>
      <c r="H510" s="343" t="s">
        <v>35</v>
      </c>
      <c r="I510" s="194">
        <f ca="1">IFERROR(__xludf.DUMMYFUNCTION("IMPORTRANGE(""https://docs.google.com/spreadsheets/d/1eHaY18a8A9IcSdp1K8H6x8fbOy06t2VsZHhMHf-1x7Y/edit?usp=sharing"",""แผน!HC21"")"),0)</f>
        <v>0</v>
      </c>
      <c r="J510" s="666">
        <v>0</v>
      </c>
      <c r="K510" s="461">
        <f t="shared" ca="1" si="314"/>
        <v>0</v>
      </c>
      <c r="L510" s="485"/>
      <c r="M510" s="7"/>
      <c r="N510" s="7"/>
      <c r="O510" s="7"/>
      <c r="P510" s="7"/>
      <c r="Q510" s="7"/>
      <c r="R510" s="7"/>
      <c r="S510" s="7"/>
      <c r="T510" s="7"/>
      <c r="U510" s="7"/>
    </row>
    <row r="511" spans="1:21" ht="19.5" hidden="1" x14ac:dyDescent="0.3">
      <c r="A511" s="667" t="s">
        <v>205</v>
      </c>
      <c r="B511" s="348"/>
      <c r="C511" s="348"/>
      <c r="D511" s="348"/>
      <c r="E511" s="349"/>
      <c r="F511" s="349"/>
      <c r="G511" s="349"/>
      <c r="H511" s="349"/>
      <c r="I511" s="350"/>
      <c r="J511" s="350"/>
      <c r="K511" s="351"/>
      <c r="L511" s="668"/>
      <c r="M511" s="353"/>
      <c r="N511" s="353"/>
      <c r="O511" s="353"/>
      <c r="P511" s="353"/>
      <c r="Q511" s="353"/>
      <c r="R511" s="353"/>
      <c r="S511" s="353"/>
      <c r="T511" s="353"/>
      <c r="U511" s="353"/>
    </row>
    <row r="512" spans="1:21" ht="19.5" hidden="1" x14ac:dyDescent="0.3">
      <c r="A512" s="669" t="s">
        <v>206</v>
      </c>
      <c r="B512" s="355"/>
      <c r="C512" s="355"/>
      <c r="D512" s="356"/>
      <c r="E512" s="355"/>
      <c r="F512" s="355"/>
      <c r="G512" s="355"/>
      <c r="H512" s="357"/>
      <c r="I512" s="358"/>
      <c r="J512" s="358"/>
      <c r="K512" s="359"/>
      <c r="L512" s="670"/>
      <c r="M512" s="360"/>
      <c r="N512" s="360"/>
      <c r="O512" s="360"/>
      <c r="P512" s="360"/>
      <c r="Q512" s="360"/>
      <c r="R512" s="360"/>
      <c r="S512" s="360"/>
      <c r="T512" s="360"/>
      <c r="U512" s="360"/>
    </row>
    <row r="513" spans="1:21" ht="19.5" hidden="1" x14ac:dyDescent="0.3">
      <c r="A513" s="361"/>
      <c r="B513" s="671" t="s">
        <v>207</v>
      </c>
      <c r="C513" s="363"/>
      <c r="D513" s="364"/>
      <c r="E513" s="364"/>
      <c r="F513" s="364"/>
      <c r="G513" s="365"/>
      <c r="H513" s="672" t="s">
        <v>61</v>
      </c>
      <c r="I513" s="673">
        <f t="shared" ref="I513:J513" si="315">I525</f>
        <v>0</v>
      </c>
      <c r="J513" s="673">
        <f t="shared" si="315"/>
        <v>0</v>
      </c>
      <c r="K513" s="674">
        <f>IF(I513&gt;0,J513*100/I513,0)</f>
        <v>0</v>
      </c>
      <c r="L513" s="675"/>
      <c r="M513" s="369"/>
      <c r="N513" s="369"/>
      <c r="O513" s="369"/>
      <c r="P513" s="369"/>
      <c r="Q513" s="369"/>
      <c r="R513" s="369"/>
      <c r="S513" s="369"/>
      <c r="T513" s="369"/>
      <c r="U513" s="369"/>
    </row>
    <row r="514" spans="1:21" ht="19.5" hidden="1" x14ac:dyDescent="0.3">
      <c r="A514" s="126"/>
      <c r="B514" s="187"/>
      <c r="C514" s="549" t="s">
        <v>18</v>
      </c>
      <c r="D514" s="550" t="s">
        <v>19</v>
      </c>
      <c r="E514" s="187"/>
      <c r="F514" s="187"/>
      <c r="G514" s="39"/>
      <c r="H514" s="676" t="s">
        <v>14</v>
      </c>
      <c r="I514" s="41"/>
      <c r="J514" s="41"/>
      <c r="K514" s="42"/>
      <c r="L514" s="514">
        <f t="shared" ref="L514:N514" ca="1" si="316">L515+L516</f>
        <v>0</v>
      </c>
      <c r="M514" s="515">
        <f t="shared" ca="1" si="316"/>
        <v>0</v>
      </c>
      <c r="N514" s="515">
        <f t="shared" ca="1" si="316"/>
        <v>0</v>
      </c>
      <c r="O514" s="515">
        <f t="shared" ref="O514:O522" ca="1" si="317">IF(L514&gt;0,N514*100/L514,0)</f>
        <v>0</v>
      </c>
      <c r="P514" s="515">
        <f t="shared" ref="P514:P522" ca="1" si="318">IF(M514&gt;0,N514*100/M514,0)</f>
        <v>0</v>
      </c>
      <c r="Q514" s="515">
        <f t="shared" ref="Q514:S514" si="319">Q515+Q516</f>
        <v>0</v>
      </c>
      <c r="R514" s="515">
        <f t="shared" si="319"/>
        <v>0</v>
      </c>
      <c r="S514" s="515">
        <f t="shared" si="319"/>
        <v>0</v>
      </c>
      <c r="T514" s="515">
        <f t="shared" ref="T514:T522" si="320">IF(Q514&gt;0,S514*100/Q514,0)</f>
        <v>0</v>
      </c>
      <c r="U514" s="515">
        <f t="shared" ref="U514:U522" si="321">IF(R514&gt;0,S514*100/R514,0)</f>
        <v>0</v>
      </c>
    </row>
    <row r="515" spans="1:21" ht="18.75" hidden="1" x14ac:dyDescent="0.25">
      <c r="A515" s="126"/>
      <c r="B515" s="187"/>
      <c r="C515" s="187"/>
      <c r="D515" s="187"/>
      <c r="E515" s="154" t="s">
        <v>20</v>
      </c>
      <c r="F515" s="187"/>
      <c r="G515" s="39"/>
      <c r="H515" s="155" t="s">
        <v>14</v>
      </c>
      <c r="I515" s="41"/>
      <c r="J515" s="41"/>
      <c r="K515" s="42"/>
      <c r="L515" s="483">
        <f t="shared" ref="L515:N516" si="322">L518+L521</f>
        <v>0</v>
      </c>
      <c r="M515" s="80">
        <f t="shared" si="322"/>
        <v>0</v>
      </c>
      <c r="N515" s="80">
        <f t="shared" si="322"/>
        <v>0</v>
      </c>
      <c r="O515" s="80">
        <f t="shared" si="317"/>
        <v>0</v>
      </c>
      <c r="P515" s="80">
        <f t="shared" si="318"/>
        <v>0</v>
      </c>
      <c r="Q515" s="80">
        <f t="shared" ref="Q515:S516" si="323">Q518+Q521</f>
        <v>0</v>
      </c>
      <c r="R515" s="80">
        <f t="shared" si="323"/>
        <v>0</v>
      </c>
      <c r="S515" s="80">
        <f t="shared" si="323"/>
        <v>0</v>
      </c>
      <c r="T515" s="80">
        <f t="shared" si="320"/>
        <v>0</v>
      </c>
      <c r="U515" s="80">
        <f t="shared" si="321"/>
        <v>0</v>
      </c>
    </row>
    <row r="516" spans="1:21" ht="18.75" hidden="1" x14ac:dyDescent="0.25">
      <c r="A516" s="126"/>
      <c r="B516" s="187"/>
      <c r="C516" s="187"/>
      <c r="D516" s="187"/>
      <c r="E516" s="154" t="s">
        <v>21</v>
      </c>
      <c r="F516" s="187"/>
      <c r="G516" s="39"/>
      <c r="H516" s="155" t="s">
        <v>14</v>
      </c>
      <c r="I516" s="41"/>
      <c r="J516" s="41"/>
      <c r="K516" s="42"/>
      <c r="L516" s="481">
        <f t="shared" ca="1" si="322"/>
        <v>0</v>
      </c>
      <c r="M516" s="230">
        <f t="shared" ca="1" si="322"/>
        <v>0</v>
      </c>
      <c r="N516" s="230">
        <f t="shared" ca="1" si="322"/>
        <v>0</v>
      </c>
      <c r="O516" s="230">
        <f t="shared" ca="1" si="317"/>
        <v>0</v>
      </c>
      <c r="P516" s="230">
        <f t="shared" ca="1" si="318"/>
        <v>0</v>
      </c>
      <c r="Q516" s="230">
        <f t="shared" si="323"/>
        <v>0</v>
      </c>
      <c r="R516" s="230">
        <f t="shared" si="323"/>
        <v>0</v>
      </c>
      <c r="S516" s="230">
        <f t="shared" si="323"/>
        <v>0</v>
      </c>
      <c r="T516" s="230">
        <f t="shared" si="320"/>
        <v>0</v>
      </c>
      <c r="U516" s="230">
        <f t="shared" si="321"/>
        <v>0</v>
      </c>
    </row>
    <row r="517" spans="1:21" ht="18.75" hidden="1" x14ac:dyDescent="0.25">
      <c r="A517" s="126"/>
      <c r="B517" s="187"/>
      <c r="C517" s="187"/>
      <c r="D517" s="677" t="s">
        <v>22</v>
      </c>
      <c r="E517" s="187"/>
      <c r="F517" s="187"/>
      <c r="G517" s="39"/>
      <c r="H517" s="157" t="s">
        <v>14</v>
      </c>
      <c r="I517" s="133"/>
      <c r="J517" s="133"/>
      <c r="K517" s="134"/>
      <c r="L517" s="481">
        <f t="shared" ref="L517:N517" ca="1" si="324">L518+L519</f>
        <v>0</v>
      </c>
      <c r="M517" s="230">
        <f t="shared" ca="1" si="324"/>
        <v>0</v>
      </c>
      <c r="N517" s="230">
        <f t="shared" ca="1" si="324"/>
        <v>0</v>
      </c>
      <c r="O517" s="230">
        <f t="shared" ca="1" si="317"/>
        <v>0</v>
      </c>
      <c r="P517" s="230">
        <f t="shared" ca="1" si="318"/>
        <v>0</v>
      </c>
      <c r="Q517" s="230">
        <f t="shared" ref="Q517:S517" si="325">Q518+Q519</f>
        <v>0</v>
      </c>
      <c r="R517" s="230">
        <f t="shared" si="325"/>
        <v>0</v>
      </c>
      <c r="S517" s="230">
        <f t="shared" si="325"/>
        <v>0</v>
      </c>
      <c r="T517" s="230">
        <f t="shared" si="320"/>
        <v>0</v>
      </c>
      <c r="U517" s="230">
        <f t="shared" si="321"/>
        <v>0</v>
      </c>
    </row>
    <row r="518" spans="1:21" ht="18.75" hidden="1" x14ac:dyDescent="0.25">
      <c r="A518" s="126"/>
      <c r="B518" s="187"/>
      <c r="C518" s="187"/>
      <c r="D518" s="187"/>
      <c r="E518" s="154" t="s">
        <v>36</v>
      </c>
      <c r="F518" s="187"/>
      <c r="G518" s="39"/>
      <c r="H518" s="157" t="s">
        <v>14</v>
      </c>
      <c r="I518" s="133"/>
      <c r="J518" s="133"/>
      <c r="K518" s="134"/>
      <c r="L518" s="483">
        <v>0</v>
      </c>
      <c r="M518" s="80">
        <v>0</v>
      </c>
      <c r="N518" s="80">
        <v>0</v>
      </c>
      <c r="O518" s="80">
        <f t="shared" si="317"/>
        <v>0</v>
      </c>
      <c r="P518" s="80">
        <f t="shared" si="318"/>
        <v>0</v>
      </c>
      <c r="Q518" s="80">
        <v>0</v>
      </c>
      <c r="R518" s="80">
        <v>0</v>
      </c>
      <c r="S518" s="80">
        <v>0</v>
      </c>
      <c r="T518" s="80">
        <f t="shared" si="320"/>
        <v>0</v>
      </c>
      <c r="U518" s="80">
        <f t="shared" si="321"/>
        <v>0</v>
      </c>
    </row>
    <row r="519" spans="1:21" ht="18.75" hidden="1" x14ac:dyDescent="0.25">
      <c r="A519" s="126"/>
      <c r="B519" s="187"/>
      <c r="C519" s="187"/>
      <c r="D519" s="187"/>
      <c r="E519" s="154" t="s">
        <v>37</v>
      </c>
      <c r="F519" s="187"/>
      <c r="G519" s="39"/>
      <c r="H519" s="157" t="s">
        <v>14</v>
      </c>
      <c r="I519" s="133"/>
      <c r="J519" s="133"/>
      <c r="K519" s="134"/>
      <c r="L519" s="481">
        <f ca="1">IFERROR(__xludf.DUMMYFUNCTION("IMPORTRANGE(""https://docs.google.com/spreadsheets/d/1-uDff_7J0KD5mKrp0Vvzr7lt3OU09vwQwhkpOPPYv2Y/edit?usp=sharing"",""งบพรบ!FM21"")"),0)</f>
        <v>0</v>
      </c>
      <c r="M519" s="230">
        <f ca="1">IFERROR(__xludf.DUMMYFUNCTION("IMPORTRANGE(""https://docs.google.com/spreadsheets/d/1-uDff_7J0KD5mKrp0Vvzr7lt3OU09vwQwhkpOPPYv2Y/edit?usp=sharing"",""งบพรบ!FR21"")"),0)</f>
        <v>0</v>
      </c>
      <c r="N519" s="230">
        <f ca="1">IFERROR(__xludf.DUMMYFUNCTION("IMPORTRANGE(""https://docs.google.com/spreadsheets/d/1-uDff_7J0KD5mKrp0Vvzr7lt3OU09vwQwhkpOPPYv2Y/edit?usp=sharing"",""งบพรบ!FT21"")"),0)</f>
        <v>0</v>
      </c>
      <c r="O519" s="230">
        <f t="shared" ca="1" si="317"/>
        <v>0</v>
      </c>
      <c r="P519" s="230">
        <f t="shared" ca="1" si="318"/>
        <v>0</v>
      </c>
      <c r="Q519" s="230">
        <v>0</v>
      </c>
      <c r="R519" s="230">
        <v>0</v>
      </c>
      <c r="S519" s="230">
        <v>0</v>
      </c>
      <c r="T519" s="230">
        <f t="shared" si="320"/>
        <v>0</v>
      </c>
      <c r="U519" s="230">
        <f t="shared" si="321"/>
        <v>0</v>
      </c>
    </row>
    <row r="520" spans="1:21" ht="18.75" hidden="1" x14ac:dyDescent="0.25">
      <c r="A520" s="126"/>
      <c r="B520" s="187"/>
      <c r="C520" s="187"/>
      <c r="D520" s="677" t="s">
        <v>23</v>
      </c>
      <c r="E520" s="187"/>
      <c r="F520" s="187"/>
      <c r="G520" s="39"/>
      <c r="H520" s="387" t="s">
        <v>14</v>
      </c>
      <c r="I520" s="133"/>
      <c r="J520" s="133"/>
      <c r="K520" s="134"/>
      <c r="L520" s="481">
        <f t="shared" ref="L520:N520" ca="1" si="326">L521+L522</f>
        <v>0</v>
      </c>
      <c r="M520" s="230">
        <f t="shared" ca="1" si="326"/>
        <v>0</v>
      </c>
      <c r="N520" s="230">
        <f t="shared" ca="1" si="326"/>
        <v>0</v>
      </c>
      <c r="O520" s="230">
        <f t="shared" ca="1" si="317"/>
        <v>0</v>
      </c>
      <c r="P520" s="230">
        <f t="shared" ca="1" si="318"/>
        <v>0</v>
      </c>
      <c r="Q520" s="230">
        <f t="shared" ref="Q520:S520" si="327">Q521+Q522</f>
        <v>0</v>
      </c>
      <c r="R520" s="230">
        <f t="shared" si="327"/>
        <v>0</v>
      </c>
      <c r="S520" s="230">
        <f t="shared" si="327"/>
        <v>0</v>
      </c>
      <c r="T520" s="230">
        <f t="shared" si="320"/>
        <v>0</v>
      </c>
      <c r="U520" s="230">
        <f t="shared" si="321"/>
        <v>0</v>
      </c>
    </row>
    <row r="521" spans="1:21" ht="18.75" hidden="1" x14ac:dyDescent="0.25">
      <c r="A521" s="126"/>
      <c r="B521" s="187"/>
      <c r="C521" s="187"/>
      <c r="D521" s="187"/>
      <c r="E521" s="154" t="s">
        <v>20</v>
      </c>
      <c r="F521" s="187"/>
      <c r="G521" s="39"/>
      <c r="H521" s="157" t="s">
        <v>14</v>
      </c>
      <c r="I521" s="133"/>
      <c r="J521" s="133"/>
      <c r="K521" s="134"/>
      <c r="L521" s="483">
        <v>0</v>
      </c>
      <c r="M521" s="80">
        <v>0</v>
      </c>
      <c r="N521" s="80">
        <v>0</v>
      </c>
      <c r="O521" s="80">
        <f t="shared" si="317"/>
        <v>0</v>
      </c>
      <c r="P521" s="80">
        <f t="shared" si="318"/>
        <v>0</v>
      </c>
      <c r="Q521" s="80">
        <v>0</v>
      </c>
      <c r="R521" s="80">
        <v>0</v>
      </c>
      <c r="S521" s="80">
        <v>0</v>
      </c>
      <c r="T521" s="80">
        <f t="shared" si="320"/>
        <v>0</v>
      </c>
      <c r="U521" s="80">
        <f t="shared" si="321"/>
        <v>0</v>
      </c>
    </row>
    <row r="522" spans="1:21" ht="18.75" hidden="1" x14ac:dyDescent="0.25">
      <c r="A522" s="126"/>
      <c r="B522" s="187"/>
      <c r="C522" s="187"/>
      <c r="D522" s="187"/>
      <c r="E522" s="154" t="s">
        <v>21</v>
      </c>
      <c r="F522" s="187"/>
      <c r="G522" s="39"/>
      <c r="H522" s="387" t="s">
        <v>14</v>
      </c>
      <c r="I522" s="133"/>
      <c r="J522" s="133"/>
      <c r="K522" s="134"/>
      <c r="L522" s="481">
        <f ca="1">IFERROR(__xludf.DUMMYFUNCTION("IMPORTRANGE(""https://docs.google.com/spreadsheets/d/1-uDff_7J0KD5mKrp0Vvzr7lt3OU09vwQwhkpOPPYv2Y/edit?usp=sharing"",""งบพรบ!FP21"")"),0)</f>
        <v>0</v>
      </c>
      <c r="M522" s="230">
        <f ca="1">IFERROR(__xludf.DUMMYFUNCTION("IMPORTRANGE(""https://docs.google.com/spreadsheets/d/1-uDff_7J0KD5mKrp0Vvzr7lt3OU09vwQwhkpOPPYv2Y/edit?usp=sharing"",""งบพรบ!FS21"")"),0)</f>
        <v>0</v>
      </c>
      <c r="N522" s="230">
        <f ca="1">IFERROR(__xludf.DUMMYFUNCTION("IMPORTRANGE(""https://docs.google.com/spreadsheets/d/1-uDff_7J0KD5mKrp0Vvzr7lt3OU09vwQwhkpOPPYv2Y/edit?usp=sharing"",""งบพรบ!FU21"")"),0)</f>
        <v>0</v>
      </c>
      <c r="O522" s="230">
        <f t="shared" ca="1" si="317"/>
        <v>0</v>
      </c>
      <c r="P522" s="230">
        <f t="shared" ca="1" si="318"/>
        <v>0</v>
      </c>
      <c r="Q522" s="230">
        <v>0</v>
      </c>
      <c r="R522" s="230">
        <v>0</v>
      </c>
      <c r="S522" s="230">
        <v>0</v>
      </c>
      <c r="T522" s="230">
        <f t="shared" si="320"/>
        <v>0</v>
      </c>
      <c r="U522" s="230">
        <f t="shared" si="321"/>
        <v>0</v>
      </c>
    </row>
    <row r="523" spans="1:21" ht="19.5" hidden="1" x14ac:dyDescent="0.3">
      <c r="A523" s="136"/>
      <c r="B523" s="137"/>
      <c r="C523" s="549" t="s">
        <v>18</v>
      </c>
      <c r="D523" s="552" t="s">
        <v>38</v>
      </c>
      <c r="E523" s="139"/>
      <c r="F523" s="139"/>
      <c r="G523" s="140"/>
      <c r="H523" s="141"/>
      <c r="I523" s="133"/>
      <c r="J523" s="41"/>
      <c r="K523" s="42"/>
      <c r="L523" s="484"/>
      <c r="M523" s="42"/>
      <c r="N523" s="42"/>
      <c r="O523" s="134"/>
      <c r="P523" s="134"/>
      <c r="Q523" s="42"/>
      <c r="R523" s="42"/>
      <c r="S523" s="42"/>
      <c r="T523" s="134"/>
      <c r="U523" s="134"/>
    </row>
    <row r="524" spans="1:21" ht="18.75" hidden="1" x14ac:dyDescent="0.25">
      <c r="A524" s="214"/>
      <c r="B524" s="187"/>
      <c r="C524" s="156"/>
      <c r="D524" s="180" t="s">
        <v>208</v>
      </c>
      <c r="E524" s="137"/>
      <c r="F524" s="187"/>
      <c r="G524" s="39"/>
      <c r="H524" s="537" t="s">
        <v>11</v>
      </c>
      <c r="I524" s="444">
        <v>0</v>
      </c>
      <c r="J524" s="529">
        <v>0</v>
      </c>
      <c r="K524" s="80">
        <f t="shared" ref="K524:K525" si="328">IF(I524&gt;0,J524*100/I524,0)</f>
        <v>0</v>
      </c>
      <c r="L524" s="484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1:21" ht="18.75" hidden="1" x14ac:dyDescent="0.25">
      <c r="A525" s="341"/>
      <c r="B525" s="5"/>
      <c r="C525" s="6"/>
      <c r="D525" s="678" t="s">
        <v>209</v>
      </c>
      <c r="E525" s="258"/>
      <c r="F525" s="5"/>
      <c r="G525" s="49"/>
      <c r="H525" s="679" t="s">
        <v>61</v>
      </c>
      <c r="I525" s="447">
        <v>0</v>
      </c>
      <c r="J525" s="531">
        <v>0</v>
      </c>
      <c r="K525" s="532">
        <f t="shared" si="328"/>
        <v>0</v>
      </c>
      <c r="L525" s="484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1:21" ht="12.75" hidden="1" x14ac:dyDescent="0.2">
      <c r="A526" s="680"/>
      <c r="B526" s="681"/>
      <c r="C526" s="681"/>
      <c r="D526" s="682"/>
      <c r="E526" s="682"/>
      <c r="F526" s="682"/>
      <c r="G526" s="683"/>
      <c r="H526" s="684"/>
      <c r="I526" s="685"/>
      <c r="J526" s="685"/>
      <c r="K526" s="686"/>
      <c r="L526" s="662"/>
      <c r="M526" s="239"/>
      <c r="N526" s="239"/>
      <c r="O526" s="239"/>
      <c r="P526" s="239"/>
      <c r="Q526" s="239"/>
      <c r="R526" s="239"/>
      <c r="S526" s="239"/>
      <c r="T526" s="239"/>
      <c r="U526" s="239"/>
    </row>
    <row r="527" spans="1:21" ht="12.75" hidden="1" x14ac:dyDescent="0.2">
      <c r="A527" s="233"/>
      <c r="B527" s="234"/>
      <c r="C527" s="234"/>
      <c r="D527" s="235"/>
      <c r="E527" s="235"/>
      <c r="F527" s="235"/>
      <c r="G527" s="236"/>
      <c r="H527" s="237"/>
      <c r="I527" s="238"/>
      <c r="J527" s="238"/>
      <c r="K527" s="239"/>
      <c r="L527" s="662"/>
      <c r="M527" s="239"/>
      <c r="N527" s="239"/>
      <c r="O527" s="239"/>
      <c r="P527" s="239"/>
      <c r="Q527" s="239"/>
      <c r="R527" s="239"/>
      <c r="S527" s="239"/>
      <c r="T527" s="239"/>
      <c r="U527" s="239"/>
    </row>
    <row r="528" spans="1:21" ht="12.75" hidden="1" x14ac:dyDescent="0.2">
      <c r="A528" s="233"/>
      <c r="B528" s="234"/>
      <c r="C528" s="234"/>
      <c r="D528" s="235"/>
      <c r="E528" s="235"/>
      <c r="F528" s="235"/>
      <c r="G528" s="236"/>
      <c r="H528" s="237"/>
      <c r="I528" s="238"/>
      <c r="J528" s="238"/>
      <c r="K528" s="239"/>
      <c r="L528" s="662"/>
      <c r="M528" s="239"/>
      <c r="N528" s="239"/>
      <c r="O528" s="239"/>
      <c r="P528" s="239"/>
      <c r="Q528" s="239"/>
      <c r="R528" s="239"/>
      <c r="S528" s="239"/>
      <c r="T528" s="239"/>
      <c r="U528" s="239"/>
    </row>
    <row r="529" spans="1:21" ht="12.75" hidden="1" x14ac:dyDescent="0.2">
      <c r="A529" s="233"/>
      <c r="B529" s="234"/>
      <c r="C529" s="234"/>
      <c r="D529" s="235"/>
      <c r="E529" s="235"/>
      <c r="F529" s="235"/>
      <c r="G529" s="236"/>
      <c r="H529" s="237"/>
      <c r="I529" s="238"/>
      <c r="J529" s="238"/>
      <c r="K529" s="239"/>
      <c r="L529" s="662"/>
      <c r="M529" s="239"/>
      <c r="N529" s="239"/>
      <c r="O529" s="239"/>
      <c r="P529" s="239"/>
      <c r="Q529" s="239"/>
      <c r="R529" s="239"/>
      <c r="S529" s="239"/>
      <c r="T529" s="239"/>
      <c r="U529" s="239"/>
    </row>
    <row r="530" spans="1:21" ht="12.75" hidden="1" x14ac:dyDescent="0.2">
      <c r="A530" s="233"/>
      <c r="B530" s="234"/>
      <c r="C530" s="234"/>
      <c r="D530" s="235"/>
      <c r="E530" s="235"/>
      <c r="F530" s="235"/>
      <c r="G530" s="236"/>
      <c r="H530" s="237"/>
      <c r="I530" s="238"/>
      <c r="J530" s="238"/>
      <c r="K530" s="239"/>
      <c r="L530" s="662"/>
      <c r="M530" s="239"/>
      <c r="N530" s="239"/>
      <c r="O530" s="239"/>
      <c r="P530" s="239"/>
      <c r="Q530" s="239"/>
      <c r="R530" s="239"/>
      <c r="S530" s="239"/>
      <c r="T530" s="239"/>
      <c r="U530" s="239"/>
    </row>
    <row r="531" spans="1:21" ht="12.75" hidden="1" x14ac:dyDescent="0.2">
      <c r="A531" s="233"/>
      <c r="B531" s="234"/>
      <c r="C531" s="234"/>
      <c r="D531" s="235"/>
      <c r="E531" s="235"/>
      <c r="F531" s="235"/>
      <c r="G531" s="236"/>
      <c r="H531" s="237"/>
      <c r="I531" s="238"/>
      <c r="J531" s="238"/>
      <c r="K531" s="239"/>
      <c r="L531" s="662"/>
      <c r="M531" s="239"/>
      <c r="N531" s="239"/>
      <c r="O531" s="239"/>
      <c r="P531" s="239"/>
      <c r="Q531" s="239"/>
      <c r="R531" s="239"/>
      <c r="S531" s="239"/>
      <c r="T531" s="239"/>
      <c r="U531" s="239"/>
    </row>
    <row r="532" spans="1:21" ht="12.75" hidden="1" x14ac:dyDescent="0.2">
      <c r="A532" s="233"/>
      <c r="B532" s="234"/>
      <c r="C532" s="234"/>
      <c r="D532" s="235"/>
      <c r="E532" s="235"/>
      <c r="F532" s="235"/>
      <c r="G532" s="236"/>
      <c r="H532" s="237"/>
      <c r="I532" s="238"/>
      <c r="J532" s="238"/>
      <c r="K532" s="239"/>
      <c r="L532" s="662"/>
      <c r="M532" s="239"/>
      <c r="N532" s="239"/>
      <c r="O532" s="239"/>
      <c r="P532" s="239"/>
      <c r="Q532" s="239"/>
      <c r="R532" s="239"/>
      <c r="S532" s="239"/>
      <c r="T532" s="239"/>
      <c r="U532" s="239"/>
    </row>
    <row r="533" spans="1:21" ht="12.75" hidden="1" x14ac:dyDescent="0.2">
      <c r="A533" s="372"/>
      <c r="B533" s="327"/>
      <c r="C533" s="327"/>
      <c r="D533" s="373"/>
      <c r="E533" s="373"/>
      <c r="F533" s="373"/>
      <c r="G533" s="374"/>
      <c r="H533" s="328"/>
      <c r="I533" s="329"/>
      <c r="J533" s="329"/>
      <c r="K533" s="330"/>
      <c r="L533" s="663"/>
      <c r="M533" s="330"/>
      <c r="N533" s="330"/>
      <c r="O533" s="330"/>
      <c r="P533" s="330"/>
      <c r="Q533" s="330"/>
      <c r="R533" s="330"/>
      <c r="S533" s="330"/>
      <c r="T533" s="330"/>
      <c r="U533" s="330"/>
    </row>
    <row r="534" spans="1:21" ht="19.5" hidden="1" x14ac:dyDescent="0.3">
      <c r="A534" s="361"/>
      <c r="B534" s="362" t="s">
        <v>210</v>
      </c>
      <c r="C534" s="363"/>
      <c r="D534" s="364"/>
      <c r="E534" s="364"/>
      <c r="F534" s="364"/>
      <c r="G534" s="365"/>
      <c r="H534" s="375" t="s">
        <v>61</v>
      </c>
      <c r="I534" s="376">
        <f t="shared" ref="I534:J534" si="329">I546</f>
        <v>0</v>
      </c>
      <c r="J534" s="376">
        <f t="shared" si="329"/>
        <v>0</v>
      </c>
      <c r="K534" s="687">
        <f>IF(I534&gt;0,J534*100/I534,0)</f>
        <v>0</v>
      </c>
      <c r="L534" s="675"/>
      <c r="M534" s="369"/>
      <c r="N534" s="369"/>
      <c r="O534" s="369"/>
      <c r="P534" s="369"/>
      <c r="Q534" s="369"/>
      <c r="R534" s="369"/>
      <c r="S534" s="369"/>
      <c r="T534" s="369"/>
      <c r="U534" s="369"/>
    </row>
    <row r="535" spans="1:21" ht="19.5" hidden="1" x14ac:dyDescent="0.3">
      <c r="A535" s="126"/>
      <c r="B535" s="187"/>
      <c r="C535" s="186" t="s">
        <v>18</v>
      </c>
      <c r="D535" s="513" t="s">
        <v>19</v>
      </c>
      <c r="E535" s="187"/>
      <c r="F535" s="187"/>
      <c r="G535" s="39"/>
      <c r="H535" s="129" t="s">
        <v>14</v>
      </c>
      <c r="I535" s="41"/>
      <c r="J535" s="41"/>
      <c r="K535" s="42"/>
      <c r="L535" s="514">
        <f t="shared" ref="L535:N535" si="330">L536+L537</f>
        <v>0</v>
      </c>
      <c r="M535" s="515">
        <f t="shared" si="330"/>
        <v>0</v>
      </c>
      <c r="N535" s="515">
        <f t="shared" si="330"/>
        <v>0</v>
      </c>
      <c r="O535" s="515">
        <f t="shared" ref="O535:O543" si="331">IF(L535&gt;0,N535*100/L535,0)</f>
        <v>0</v>
      </c>
      <c r="P535" s="515">
        <f t="shared" ref="P535:P543" si="332">IF(M535&gt;0,N535*100/M535,0)</f>
        <v>0</v>
      </c>
      <c r="Q535" s="515">
        <f t="shared" ref="Q535:S535" si="333">Q536+Q537</f>
        <v>0</v>
      </c>
      <c r="R535" s="515">
        <f t="shared" si="333"/>
        <v>0</v>
      </c>
      <c r="S535" s="515">
        <f t="shared" si="333"/>
        <v>0</v>
      </c>
      <c r="T535" s="515">
        <f t="shared" ref="T535:T543" si="334">IF(Q535&gt;0,S535*100/Q535,0)</f>
        <v>0</v>
      </c>
      <c r="U535" s="515">
        <f t="shared" ref="U535:U543" si="335">IF(R535&gt;0,S535*100/R535,0)</f>
        <v>0</v>
      </c>
    </row>
    <row r="536" spans="1:21" ht="18.75" hidden="1" x14ac:dyDescent="0.25">
      <c r="A536" s="126"/>
      <c r="B536" s="156"/>
      <c r="C536" s="187"/>
      <c r="D536" s="187"/>
      <c r="E536" s="154" t="s">
        <v>20</v>
      </c>
      <c r="F536" s="187"/>
      <c r="G536" s="39"/>
      <c r="H536" s="155" t="s">
        <v>14</v>
      </c>
      <c r="I536" s="41"/>
      <c r="J536" s="41"/>
      <c r="K536" s="42"/>
      <c r="L536" s="483">
        <f t="shared" ref="L536:N537" si="336">L539+L542</f>
        <v>0</v>
      </c>
      <c r="M536" s="80">
        <f t="shared" si="336"/>
        <v>0</v>
      </c>
      <c r="N536" s="80">
        <f t="shared" si="336"/>
        <v>0</v>
      </c>
      <c r="O536" s="80">
        <f t="shared" si="331"/>
        <v>0</v>
      </c>
      <c r="P536" s="80">
        <f t="shared" si="332"/>
        <v>0</v>
      </c>
      <c r="Q536" s="80">
        <f t="shared" ref="Q536:S537" si="337">Q539+Q542</f>
        <v>0</v>
      </c>
      <c r="R536" s="80">
        <f t="shared" si="337"/>
        <v>0</v>
      </c>
      <c r="S536" s="80">
        <f t="shared" si="337"/>
        <v>0</v>
      </c>
      <c r="T536" s="80">
        <f t="shared" si="334"/>
        <v>0</v>
      </c>
      <c r="U536" s="80">
        <f t="shared" si="335"/>
        <v>0</v>
      </c>
    </row>
    <row r="537" spans="1:21" ht="18.75" hidden="1" x14ac:dyDescent="0.25">
      <c r="A537" s="126"/>
      <c r="B537" s="187"/>
      <c r="C537" s="156"/>
      <c r="D537" s="187"/>
      <c r="E537" s="426" t="s">
        <v>21</v>
      </c>
      <c r="F537" s="187"/>
      <c r="G537" s="39"/>
      <c r="H537" s="131" t="s">
        <v>14</v>
      </c>
      <c r="I537" s="41"/>
      <c r="J537" s="41"/>
      <c r="K537" s="42"/>
      <c r="L537" s="481">
        <f t="shared" si="336"/>
        <v>0</v>
      </c>
      <c r="M537" s="230">
        <f t="shared" si="336"/>
        <v>0</v>
      </c>
      <c r="N537" s="230">
        <f t="shared" si="336"/>
        <v>0</v>
      </c>
      <c r="O537" s="230">
        <f t="shared" si="331"/>
        <v>0</v>
      </c>
      <c r="P537" s="230">
        <f t="shared" si="332"/>
        <v>0</v>
      </c>
      <c r="Q537" s="230">
        <f t="shared" si="337"/>
        <v>0</v>
      </c>
      <c r="R537" s="230">
        <f t="shared" si="337"/>
        <v>0</v>
      </c>
      <c r="S537" s="230">
        <f t="shared" si="337"/>
        <v>0</v>
      </c>
      <c r="T537" s="230">
        <f t="shared" si="334"/>
        <v>0</v>
      </c>
      <c r="U537" s="230">
        <f t="shared" si="335"/>
        <v>0</v>
      </c>
    </row>
    <row r="538" spans="1:21" ht="18.75" hidden="1" x14ac:dyDescent="0.25">
      <c r="A538" s="126"/>
      <c r="B538" s="187"/>
      <c r="C538" s="156"/>
      <c r="D538" s="38" t="s">
        <v>22</v>
      </c>
      <c r="E538" s="156"/>
      <c r="F538" s="187"/>
      <c r="G538" s="39"/>
      <c r="H538" s="132" t="s">
        <v>14</v>
      </c>
      <c r="I538" s="133"/>
      <c r="J538" s="133"/>
      <c r="K538" s="134"/>
      <c r="L538" s="481">
        <f t="shared" ref="L538:N538" si="338">L539+L540</f>
        <v>0</v>
      </c>
      <c r="M538" s="230">
        <f t="shared" si="338"/>
        <v>0</v>
      </c>
      <c r="N538" s="230">
        <f t="shared" si="338"/>
        <v>0</v>
      </c>
      <c r="O538" s="230">
        <f t="shared" si="331"/>
        <v>0</v>
      </c>
      <c r="P538" s="230">
        <f t="shared" si="332"/>
        <v>0</v>
      </c>
      <c r="Q538" s="230">
        <f t="shared" ref="Q538:S538" si="339">Q539+Q540</f>
        <v>0</v>
      </c>
      <c r="R538" s="230">
        <f t="shared" si="339"/>
        <v>0</v>
      </c>
      <c r="S538" s="230">
        <f t="shared" si="339"/>
        <v>0</v>
      </c>
      <c r="T538" s="230">
        <f t="shared" si="334"/>
        <v>0</v>
      </c>
      <c r="U538" s="230">
        <f t="shared" si="335"/>
        <v>0</v>
      </c>
    </row>
    <row r="539" spans="1:21" ht="18.75" hidden="1" x14ac:dyDescent="0.25">
      <c r="A539" s="126"/>
      <c r="B539" s="187"/>
      <c r="C539" s="187"/>
      <c r="D539" s="187"/>
      <c r="E539" s="154" t="s">
        <v>36</v>
      </c>
      <c r="F539" s="187"/>
      <c r="G539" s="39"/>
      <c r="H539" s="157" t="s">
        <v>14</v>
      </c>
      <c r="I539" s="133"/>
      <c r="J539" s="133"/>
      <c r="K539" s="134"/>
      <c r="L539" s="483">
        <v>0</v>
      </c>
      <c r="M539" s="80">
        <v>0</v>
      </c>
      <c r="N539" s="80">
        <v>0</v>
      </c>
      <c r="O539" s="80">
        <f t="shared" si="331"/>
        <v>0</v>
      </c>
      <c r="P539" s="80">
        <f t="shared" si="332"/>
        <v>0</v>
      </c>
      <c r="Q539" s="80">
        <v>0</v>
      </c>
      <c r="R539" s="80">
        <v>0</v>
      </c>
      <c r="S539" s="80">
        <v>0</v>
      </c>
      <c r="T539" s="80">
        <f t="shared" si="334"/>
        <v>0</v>
      </c>
      <c r="U539" s="80">
        <f t="shared" si="335"/>
        <v>0</v>
      </c>
    </row>
    <row r="540" spans="1:21" ht="18.75" hidden="1" x14ac:dyDescent="0.25">
      <c r="A540" s="126"/>
      <c r="B540" s="187"/>
      <c r="C540" s="187"/>
      <c r="D540" s="187"/>
      <c r="E540" s="254" t="s">
        <v>37</v>
      </c>
      <c r="F540" s="187"/>
      <c r="G540" s="39"/>
      <c r="H540" s="132" t="s">
        <v>14</v>
      </c>
      <c r="I540" s="133"/>
      <c r="J540" s="133"/>
      <c r="K540" s="134"/>
      <c r="L540" s="481">
        <v>0</v>
      </c>
      <c r="M540" s="230">
        <v>0</v>
      </c>
      <c r="N540" s="230">
        <v>0</v>
      </c>
      <c r="O540" s="230">
        <f t="shared" si="331"/>
        <v>0</v>
      </c>
      <c r="P540" s="230">
        <f t="shared" si="332"/>
        <v>0</v>
      </c>
      <c r="Q540" s="230">
        <v>0</v>
      </c>
      <c r="R540" s="230">
        <v>0</v>
      </c>
      <c r="S540" s="230">
        <v>0</v>
      </c>
      <c r="T540" s="230">
        <f t="shared" si="334"/>
        <v>0</v>
      </c>
      <c r="U540" s="230">
        <f t="shared" si="335"/>
        <v>0</v>
      </c>
    </row>
    <row r="541" spans="1:21" ht="18.75" hidden="1" x14ac:dyDescent="0.25">
      <c r="A541" s="126"/>
      <c r="B541" s="187"/>
      <c r="C541" s="187"/>
      <c r="D541" s="38" t="s">
        <v>23</v>
      </c>
      <c r="E541" s="187"/>
      <c r="F541" s="187"/>
      <c r="G541" s="39"/>
      <c r="H541" s="135" t="s">
        <v>14</v>
      </c>
      <c r="I541" s="133"/>
      <c r="J541" s="133"/>
      <c r="K541" s="134"/>
      <c r="L541" s="481">
        <f t="shared" ref="L541:N541" si="340">L542+L543</f>
        <v>0</v>
      </c>
      <c r="M541" s="230">
        <f t="shared" si="340"/>
        <v>0</v>
      </c>
      <c r="N541" s="230">
        <f t="shared" si="340"/>
        <v>0</v>
      </c>
      <c r="O541" s="230">
        <f t="shared" si="331"/>
        <v>0</v>
      </c>
      <c r="P541" s="230">
        <f t="shared" si="332"/>
        <v>0</v>
      </c>
      <c r="Q541" s="230">
        <f t="shared" ref="Q541:S541" si="341">Q542+Q543</f>
        <v>0</v>
      </c>
      <c r="R541" s="230">
        <f t="shared" si="341"/>
        <v>0</v>
      </c>
      <c r="S541" s="230">
        <f t="shared" si="341"/>
        <v>0</v>
      </c>
      <c r="T541" s="230">
        <f t="shared" si="334"/>
        <v>0</v>
      </c>
      <c r="U541" s="230">
        <f t="shared" si="335"/>
        <v>0</v>
      </c>
    </row>
    <row r="542" spans="1:21" ht="18.75" hidden="1" x14ac:dyDescent="0.25">
      <c r="A542" s="126"/>
      <c r="B542" s="187"/>
      <c r="C542" s="187"/>
      <c r="D542" s="187"/>
      <c r="E542" s="154" t="s">
        <v>20</v>
      </c>
      <c r="F542" s="187"/>
      <c r="G542" s="39"/>
      <c r="H542" s="157" t="s">
        <v>14</v>
      </c>
      <c r="I542" s="133"/>
      <c r="J542" s="133"/>
      <c r="K542" s="134"/>
      <c r="L542" s="483">
        <v>0</v>
      </c>
      <c r="M542" s="80">
        <v>0</v>
      </c>
      <c r="N542" s="80">
        <v>0</v>
      </c>
      <c r="O542" s="80">
        <f t="shared" si="331"/>
        <v>0</v>
      </c>
      <c r="P542" s="80">
        <f t="shared" si="332"/>
        <v>0</v>
      </c>
      <c r="Q542" s="80">
        <v>0</v>
      </c>
      <c r="R542" s="80">
        <v>0</v>
      </c>
      <c r="S542" s="80">
        <v>0</v>
      </c>
      <c r="T542" s="80">
        <f t="shared" si="334"/>
        <v>0</v>
      </c>
      <c r="U542" s="80">
        <f t="shared" si="335"/>
        <v>0</v>
      </c>
    </row>
    <row r="543" spans="1:21" ht="18.75" hidden="1" x14ac:dyDescent="0.25">
      <c r="A543" s="126"/>
      <c r="B543" s="187"/>
      <c r="C543" s="187"/>
      <c r="D543" s="187"/>
      <c r="E543" s="254" t="s">
        <v>21</v>
      </c>
      <c r="F543" s="187"/>
      <c r="G543" s="39"/>
      <c r="H543" s="135" t="s">
        <v>14</v>
      </c>
      <c r="I543" s="133"/>
      <c r="J543" s="133"/>
      <c r="K543" s="134"/>
      <c r="L543" s="481">
        <v>0</v>
      </c>
      <c r="M543" s="230">
        <v>0</v>
      </c>
      <c r="N543" s="230">
        <v>0</v>
      </c>
      <c r="O543" s="230">
        <f t="shared" si="331"/>
        <v>0</v>
      </c>
      <c r="P543" s="230">
        <f t="shared" si="332"/>
        <v>0</v>
      </c>
      <c r="Q543" s="230">
        <v>0</v>
      </c>
      <c r="R543" s="230">
        <v>0</v>
      </c>
      <c r="S543" s="230">
        <v>0</v>
      </c>
      <c r="T543" s="230">
        <f t="shared" si="334"/>
        <v>0</v>
      </c>
      <c r="U543" s="230">
        <f t="shared" si="335"/>
        <v>0</v>
      </c>
    </row>
    <row r="544" spans="1:21" ht="19.5" hidden="1" x14ac:dyDescent="0.3">
      <c r="A544" s="136"/>
      <c r="B544" s="137"/>
      <c r="C544" s="377" t="s">
        <v>18</v>
      </c>
      <c r="D544" s="516" t="s">
        <v>38</v>
      </c>
      <c r="E544" s="139"/>
      <c r="F544" s="139"/>
      <c r="G544" s="140"/>
      <c r="H544" s="141"/>
      <c r="I544" s="133"/>
      <c r="J544" s="41"/>
      <c r="K544" s="42"/>
      <c r="L544" s="484"/>
      <c r="M544" s="42"/>
      <c r="N544" s="42"/>
      <c r="O544" s="134"/>
      <c r="P544" s="134"/>
      <c r="Q544" s="42"/>
      <c r="R544" s="42"/>
      <c r="S544" s="42"/>
      <c r="T544" s="134"/>
      <c r="U544" s="134"/>
    </row>
    <row r="545" spans="1:21" ht="12.75" hidden="1" x14ac:dyDescent="0.2">
      <c r="A545" s="233"/>
      <c r="B545" s="235"/>
      <c r="C545" s="234"/>
      <c r="D545" s="235"/>
      <c r="E545" s="234"/>
      <c r="F545" s="235"/>
      <c r="G545" s="236"/>
      <c r="H545" s="236"/>
      <c r="I545" s="238"/>
      <c r="J545" s="238"/>
      <c r="K545" s="239"/>
      <c r="L545" s="662"/>
      <c r="M545" s="239"/>
      <c r="N545" s="239"/>
      <c r="O545" s="239"/>
      <c r="P545" s="239"/>
      <c r="Q545" s="239"/>
      <c r="R545" s="239"/>
      <c r="S545" s="239"/>
      <c r="T545" s="239"/>
      <c r="U545" s="239"/>
    </row>
    <row r="546" spans="1:21" ht="12.75" hidden="1" x14ac:dyDescent="0.2">
      <c r="A546" s="233"/>
      <c r="B546" s="235"/>
      <c r="C546" s="234"/>
      <c r="D546" s="235"/>
      <c r="E546" s="234"/>
      <c r="F546" s="235"/>
      <c r="G546" s="236"/>
      <c r="H546" s="236"/>
      <c r="I546" s="238"/>
      <c r="J546" s="238"/>
      <c r="K546" s="239"/>
      <c r="L546" s="662"/>
      <c r="M546" s="239"/>
      <c r="N546" s="239"/>
      <c r="O546" s="239"/>
      <c r="P546" s="239"/>
      <c r="Q546" s="239"/>
      <c r="R546" s="239"/>
      <c r="S546" s="239"/>
      <c r="T546" s="239"/>
      <c r="U546" s="239"/>
    </row>
    <row r="547" spans="1:21" ht="12.75" hidden="1" x14ac:dyDescent="0.2">
      <c r="A547" s="233"/>
      <c r="B547" s="234"/>
      <c r="C547" s="234"/>
      <c r="D547" s="235"/>
      <c r="E547" s="235"/>
      <c r="F547" s="235"/>
      <c r="G547" s="236"/>
      <c r="H547" s="237"/>
      <c r="I547" s="238"/>
      <c r="J547" s="238"/>
      <c r="K547" s="239"/>
      <c r="L547" s="662"/>
      <c r="M547" s="239"/>
      <c r="N547" s="239"/>
      <c r="O547" s="239"/>
      <c r="P547" s="239"/>
      <c r="Q547" s="239"/>
      <c r="R547" s="239"/>
      <c r="S547" s="239"/>
      <c r="T547" s="239"/>
      <c r="U547" s="239"/>
    </row>
    <row r="548" spans="1:21" ht="12.75" hidden="1" x14ac:dyDescent="0.2">
      <c r="A548" s="233"/>
      <c r="B548" s="234"/>
      <c r="C548" s="234"/>
      <c r="D548" s="235"/>
      <c r="E548" s="235"/>
      <c r="F548" s="235"/>
      <c r="G548" s="236"/>
      <c r="H548" s="237"/>
      <c r="I548" s="238"/>
      <c r="J548" s="238"/>
      <c r="K548" s="239"/>
      <c r="L548" s="662"/>
      <c r="M548" s="239"/>
      <c r="N548" s="239"/>
      <c r="O548" s="239"/>
      <c r="P548" s="239"/>
      <c r="Q548" s="239"/>
      <c r="R548" s="239"/>
      <c r="S548" s="239"/>
      <c r="T548" s="239"/>
      <c r="U548" s="239"/>
    </row>
    <row r="549" spans="1:21" ht="12.75" hidden="1" x14ac:dyDescent="0.2">
      <c r="A549" s="233"/>
      <c r="B549" s="234"/>
      <c r="C549" s="234"/>
      <c r="D549" s="235"/>
      <c r="E549" s="235"/>
      <c r="F549" s="235"/>
      <c r="G549" s="236"/>
      <c r="H549" s="237"/>
      <c r="I549" s="238"/>
      <c r="J549" s="238"/>
      <c r="K549" s="239"/>
      <c r="L549" s="662"/>
      <c r="M549" s="239"/>
      <c r="N549" s="239"/>
      <c r="O549" s="239"/>
      <c r="P549" s="239"/>
      <c r="Q549" s="239"/>
      <c r="R549" s="239"/>
      <c r="S549" s="239"/>
      <c r="T549" s="239"/>
      <c r="U549" s="239"/>
    </row>
    <row r="550" spans="1:21" ht="12.75" hidden="1" x14ac:dyDescent="0.2">
      <c r="A550" s="233"/>
      <c r="B550" s="234"/>
      <c r="C550" s="234"/>
      <c r="D550" s="235"/>
      <c r="E550" s="235"/>
      <c r="F550" s="235"/>
      <c r="G550" s="236"/>
      <c r="H550" s="237"/>
      <c r="I550" s="238"/>
      <c r="J550" s="238"/>
      <c r="K550" s="239"/>
      <c r="L550" s="662"/>
      <c r="M550" s="239"/>
      <c r="N550" s="239"/>
      <c r="O550" s="239"/>
      <c r="P550" s="239"/>
      <c r="Q550" s="239"/>
      <c r="R550" s="239"/>
      <c r="S550" s="239"/>
      <c r="T550" s="239"/>
      <c r="U550" s="239"/>
    </row>
    <row r="551" spans="1:21" ht="12.75" hidden="1" x14ac:dyDescent="0.2">
      <c r="A551" s="233"/>
      <c r="B551" s="234"/>
      <c r="C551" s="234"/>
      <c r="D551" s="235"/>
      <c r="E551" s="235"/>
      <c r="F551" s="235"/>
      <c r="G551" s="236"/>
      <c r="H551" s="237"/>
      <c r="I551" s="238"/>
      <c r="J551" s="238"/>
      <c r="K551" s="239"/>
      <c r="L551" s="662"/>
      <c r="M551" s="239"/>
      <c r="N551" s="239"/>
      <c r="O551" s="239"/>
      <c r="P551" s="239"/>
      <c r="Q551" s="239"/>
      <c r="R551" s="239"/>
      <c r="S551" s="239"/>
      <c r="T551" s="239"/>
      <c r="U551" s="239"/>
    </row>
    <row r="552" spans="1:21" ht="12.75" hidden="1" x14ac:dyDescent="0.2">
      <c r="A552" s="233"/>
      <c r="B552" s="234"/>
      <c r="C552" s="234"/>
      <c r="D552" s="235"/>
      <c r="E552" s="235"/>
      <c r="F552" s="235"/>
      <c r="G552" s="236"/>
      <c r="H552" s="237"/>
      <c r="I552" s="238"/>
      <c r="J552" s="238"/>
      <c r="K552" s="239"/>
      <c r="L552" s="662"/>
      <c r="M552" s="239"/>
      <c r="N552" s="239"/>
      <c r="O552" s="239"/>
      <c r="P552" s="239"/>
      <c r="Q552" s="239"/>
      <c r="R552" s="239"/>
      <c r="S552" s="239"/>
      <c r="T552" s="239"/>
      <c r="U552" s="239"/>
    </row>
    <row r="553" spans="1:21" ht="12.75" hidden="1" x14ac:dyDescent="0.2">
      <c r="A553" s="233"/>
      <c r="B553" s="234"/>
      <c r="C553" s="234"/>
      <c r="D553" s="235"/>
      <c r="E553" s="235"/>
      <c r="F553" s="235"/>
      <c r="G553" s="236"/>
      <c r="H553" s="237"/>
      <c r="I553" s="238"/>
      <c r="J553" s="238"/>
      <c r="K553" s="239"/>
      <c r="L553" s="662"/>
      <c r="M553" s="239"/>
      <c r="N553" s="239"/>
      <c r="O553" s="239"/>
      <c r="P553" s="239"/>
      <c r="Q553" s="239"/>
      <c r="R553" s="239"/>
      <c r="S553" s="239"/>
      <c r="T553" s="239"/>
      <c r="U553" s="239"/>
    </row>
    <row r="554" spans="1:21" ht="12.75" hidden="1" x14ac:dyDescent="0.2">
      <c r="A554" s="372"/>
      <c r="B554" s="327"/>
      <c r="C554" s="327"/>
      <c r="D554" s="373"/>
      <c r="E554" s="373"/>
      <c r="F554" s="373"/>
      <c r="G554" s="374"/>
      <c r="H554" s="328"/>
      <c r="I554" s="329"/>
      <c r="J554" s="329"/>
      <c r="K554" s="330"/>
      <c r="L554" s="663"/>
      <c r="M554" s="330"/>
      <c r="N554" s="330"/>
      <c r="O554" s="330"/>
      <c r="P554" s="330"/>
      <c r="Q554" s="330"/>
      <c r="R554" s="330"/>
      <c r="S554" s="330"/>
      <c r="T554" s="330"/>
      <c r="U554" s="330"/>
    </row>
    <row r="555" spans="1:21" ht="19.5" hidden="1" x14ac:dyDescent="0.3">
      <c r="A555" s="361"/>
      <c r="B555" s="362" t="s">
        <v>211</v>
      </c>
      <c r="C555" s="363"/>
      <c r="D555" s="364"/>
      <c r="E555" s="364"/>
      <c r="F555" s="364"/>
      <c r="G555" s="365"/>
      <c r="H555" s="375" t="s">
        <v>61</v>
      </c>
      <c r="I555" s="376">
        <f t="shared" ref="I555:J555" si="342">I567</f>
        <v>0</v>
      </c>
      <c r="J555" s="376">
        <f t="shared" si="342"/>
        <v>0</v>
      </c>
      <c r="K555" s="687">
        <f>IF(I555&gt;0,J555*100/I555,0)</f>
        <v>0</v>
      </c>
      <c r="L555" s="675"/>
      <c r="M555" s="369"/>
      <c r="N555" s="369"/>
      <c r="O555" s="369"/>
      <c r="P555" s="369"/>
      <c r="Q555" s="369"/>
      <c r="R555" s="369"/>
      <c r="S555" s="369"/>
      <c r="T555" s="369"/>
      <c r="U555" s="369"/>
    </row>
    <row r="556" spans="1:21" ht="19.5" hidden="1" x14ac:dyDescent="0.3">
      <c r="A556" s="126"/>
      <c r="B556" s="187"/>
      <c r="C556" s="186" t="s">
        <v>18</v>
      </c>
      <c r="D556" s="513" t="s">
        <v>19</v>
      </c>
      <c r="E556" s="187"/>
      <c r="F556" s="187"/>
      <c r="G556" s="39"/>
      <c r="H556" s="129" t="s">
        <v>14</v>
      </c>
      <c r="I556" s="41"/>
      <c r="J556" s="41"/>
      <c r="K556" s="42"/>
      <c r="L556" s="514">
        <f t="shared" ref="L556:N556" si="343">L557+L558</f>
        <v>0</v>
      </c>
      <c r="M556" s="515">
        <f t="shared" si="343"/>
        <v>0</v>
      </c>
      <c r="N556" s="515">
        <f t="shared" si="343"/>
        <v>0</v>
      </c>
      <c r="O556" s="515">
        <f t="shared" ref="O556:O564" si="344">IF(L556&gt;0,N556*100/L556,0)</f>
        <v>0</v>
      </c>
      <c r="P556" s="515">
        <f t="shared" ref="P556:P564" si="345">IF(M556&gt;0,N556*100/M556,0)</f>
        <v>0</v>
      </c>
      <c r="Q556" s="515">
        <f t="shared" ref="Q556:S556" si="346">Q557+Q558</f>
        <v>0</v>
      </c>
      <c r="R556" s="515">
        <f t="shared" si="346"/>
        <v>0</v>
      </c>
      <c r="S556" s="515">
        <f t="shared" si="346"/>
        <v>0</v>
      </c>
      <c r="T556" s="515">
        <f t="shared" ref="T556:T564" si="347">IF(Q556&gt;0,S556*100/Q556,0)</f>
        <v>0</v>
      </c>
      <c r="U556" s="515">
        <f t="shared" ref="U556:U564" si="348">IF(R556&gt;0,S556*100/R556,0)</f>
        <v>0</v>
      </c>
    </row>
    <row r="557" spans="1:21" ht="18.75" hidden="1" x14ac:dyDescent="0.25">
      <c r="A557" s="126"/>
      <c r="B557" s="156"/>
      <c r="C557" s="187"/>
      <c r="D557" s="187"/>
      <c r="E557" s="154" t="s">
        <v>20</v>
      </c>
      <c r="F557" s="187"/>
      <c r="G557" s="39"/>
      <c r="H557" s="155" t="s">
        <v>14</v>
      </c>
      <c r="I557" s="41"/>
      <c r="J557" s="41"/>
      <c r="K557" s="42"/>
      <c r="L557" s="483">
        <f t="shared" ref="L557:N558" si="349">L560+L563</f>
        <v>0</v>
      </c>
      <c r="M557" s="80">
        <f t="shared" si="349"/>
        <v>0</v>
      </c>
      <c r="N557" s="80">
        <f t="shared" si="349"/>
        <v>0</v>
      </c>
      <c r="O557" s="80">
        <f t="shared" si="344"/>
        <v>0</v>
      </c>
      <c r="P557" s="80">
        <f t="shared" si="345"/>
        <v>0</v>
      </c>
      <c r="Q557" s="80">
        <f t="shared" ref="Q557:S558" si="350">Q560+Q563</f>
        <v>0</v>
      </c>
      <c r="R557" s="80">
        <f t="shared" si="350"/>
        <v>0</v>
      </c>
      <c r="S557" s="80">
        <f t="shared" si="350"/>
        <v>0</v>
      </c>
      <c r="T557" s="80">
        <f t="shared" si="347"/>
        <v>0</v>
      </c>
      <c r="U557" s="80">
        <f t="shared" si="348"/>
        <v>0</v>
      </c>
    </row>
    <row r="558" spans="1:21" ht="18.75" hidden="1" x14ac:dyDescent="0.25">
      <c r="A558" s="126"/>
      <c r="B558" s="187"/>
      <c r="C558" s="156"/>
      <c r="D558" s="187"/>
      <c r="E558" s="426" t="s">
        <v>21</v>
      </c>
      <c r="F558" s="187"/>
      <c r="G558" s="39"/>
      <c r="H558" s="131" t="s">
        <v>14</v>
      </c>
      <c r="I558" s="41"/>
      <c r="J558" s="41"/>
      <c r="K558" s="42"/>
      <c r="L558" s="481">
        <f t="shared" si="349"/>
        <v>0</v>
      </c>
      <c r="M558" s="230">
        <f t="shared" si="349"/>
        <v>0</v>
      </c>
      <c r="N558" s="230">
        <f t="shared" si="349"/>
        <v>0</v>
      </c>
      <c r="O558" s="230">
        <f t="shared" si="344"/>
        <v>0</v>
      </c>
      <c r="P558" s="230">
        <f t="shared" si="345"/>
        <v>0</v>
      </c>
      <c r="Q558" s="230">
        <f t="shared" si="350"/>
        <v>0</v>
      </c>
      <c r="R558" s="230">
        <f t="shared" si="350"/>
        <v>0</v>
      </c>
      <c r="S558" s="230">
        <f t="shared" si="350"/>
        <v>0</v>
      </c>
      <c r="T558" s="230">
        <f t="shared" si="347"/>
        <v>0</v>
      </c>
      <c r="U558" s="230">
        <f t="shared" si="348"/>
        <v>0</v>
      </c>
    </row>
    <row r="559" spans="1:21" ht="18.75" hidden="1" x14ac:dyDescent="0.25">
      <c r="A559" s="126"/>
      <c r="B559" s="187"/>
      <c r="C559" s="156"/>
      <c r="D559" s="38" t="s">
        <v>22</v>
      </c>
      <c r="E559" s="156"/>
      <c r="F559" s="187"/>
      <c r="G559" s="39"/>
      <c r="H559" s="132" t="s">
        <v>14</v>
      </c>
      <c r="I559" s="133"/>
      <c r="J559" s="133"/>
      <c r="K559" s="134"/>
      <c r="L559" s="481">
        <f t="shared" ref="L559:N559" si="351">L560+L561</f>
        <v>0</v>
      </c>
      <c r="M559" s="230">
        <f t="shared" si="351"/>
        <v>0</v>
      </c>
      <c r="N559" s="230">
        <f t="shared" si="351"/>
        <v>0</v>
      </c>
      <c r="O559" s="230">
        <f t="shared" si="344"/>
        <v>0</v>
      </c>
      <c r="P559" s="230">
        <f t="shared" si="345"/>
        <v>0</v>
      </c>
      <c r="Q559" s="230">
        <f t="shared" ref="Q559:S559" si="352">Q560+Q561</f>
        <v>0</v>
      </c>
      <c r="R559" s="230">
        <f t="shared" si="352"/>
        <v>0</v>
      </c>
      <c r="S559" s="230">
        <f t="shared" si="352"/>
        <v>0</v>
      </c>
      <c r="T559" s="230">
        <f t="shared" si="347"/>
        <v>0</v>
      </c>
      <c r="U559" s="230">
        <f t="shared" si="348"/>
        <v>0</v>
      </c>
    </row>
    <row r="560" spans="1:21" ht="18.75" hidden="1" x14ac:dyDescent="0.25">
      <c r="A560" s="126"/>
      <c r="B560" s="187"/>
      <c r="C560" s="187"/>
      <c r="D560" s="187"/>
      <c r="E560" s="154" t="s">
        <v>36</v>
      </c>
      <c r="F560" s="187"/>
      <c r="G560" s="39"/>
      <c r="H560" s="157" t="s">
        <v>14</v>
      </c>
      <c r="I560" s="133"/>
      <c r="J560" s="133"/>
      <c r="K560" s="134"/>
      <c r="L560" s="483">
        <v>0</v>
      </c>
      <c r="M560" s="80">
        <v>0</v>
      </c>
      <c r="N560" s="80">
        <v>0</v>
      </c>
      <c r="O560" s="80">
        <f t="shared" si="344"/>
        <v>0</v>
      </c>
      <c r="P560" s="80">
        <f t="shared" si="345"/>
        <v>0</v>
      </c>
      <c r="Q560" s="80">
        <v>0</v>
      </c>
      <c r="R560" s="80">
        <v>0</v>
      </c>
      <c r="S560" s="80">
        <v>0</v>
      </c>
      <c r="T560" s="80">
        <f t="shared" si="347"/>
        <v>0</v>
      </c>
      <c r="U560" s="80">
        <f t="shared" si="348"/>
        <v>0</v>
      </c>
    </row>
    <row r="561" spans="1:21" ht="18.75" hidden="1" x14ac:dyDescent="0.25">
      <c r="A561" s="126"/>
      <c r="B561" s="187"/>
      <c r="C561" s="187"/>
      <c r="D561" s="187"/>
      <c r="E561" s="254" t="s">
        <v>37</v>
      </c>
      <c r="F561" s="187"/>
      <c r="G561" s="39"/>
      <c r="H561" s="132" t="s">
        <v>14</v>
      </c>
      <c r="I561" s="133"/>
      <c r="J561" s="133"/>
      <c r="K561" s="134"/>
      <c r="L561" s="481">
        <v>0</v>
      </c>
      <c r="M561" s="230">
        <v>0</v>
      </c>
      <c r="N561" s="230">
        <v>0</v>
      </c>
      <c r="O561" s="230">
        <f t="shared" si="344"/>
        <v>0</v>
      </c>
      <c r="P561" s="230">
        <f t="shared" si="345"/>
        <v>0</v>
      </c>
      <c r="Q561" s="230">
        <v>0</v>
      </c>
      <c r="R561" s="230">
        <v>0</v>
      </c>
      <c r="S561" s="230">
        <v>0</v>
      </c>
      <c r="T561" s="230">
        <f t="shared" si="347"/>
        <v>0</v>
      </c>
      <c r="U561" s="230">
        <f t="shared" si="348"/>
        <v>0</v>
      </c>
    </row>
    <row r="562" spans="1:21" ht="18.75" hidden="1" x14ac:dyDescent="0.25">
      <c r="A562" s="126"/>
      <c r="B562" s="187"/>
      <c r="C562" s="187"/>
      <c r="D562" s="38" t="s">
        <v>23</v>
      </c>
      <c r="E562" s="187"/>
      <c r="F562" s="187"/>
      <c r="G562" s="39"/>
      <c r="H562" s="135" t="s">
        <v>14</v>
      </c>
      <c r="I562" s="133"/>
      <c r="J562" s="133"/>
      <c r="K562" s="134"/>
      <c r="L562" s="481">
        <f t="shared" ref="L562:N562" si="353">L563+L564</f>
        <v>0</v>
      </c>
      <c r="M562" s="230">
        <f t="shared" si="353"/>
        <v>0</v>
      </c>
      <c r="N562" s="230">
        <f t="shared" si="353"/>
        <v>0</v>
      </c>
      <c r="O562" s="230">
        <f t="shared" si="344"/>
        <v>0</v>
      </c>
      <c r="P562" s="230">
        <f t="shared" si="345"/>
        <v>0</v>
      </c>
      <c r="Q562" s="230">
        <f t="shared" ref="Q562:S562" si="354">Q563+Q564</f>
        <v>0</v>
      </c>
      <c r="R562" s="230">
        <f t="shared" si="354"/>
        <v>0</v>
      </c>
      <c r="S562" s="230">
        <f t="shared" si="354"/>
        <v>0</v>
      </c>
      <c r="T562" s="230">
        <f t="shared" si="347"/>
        <v>0</v>
      </c>
      <c r="U562" s="230">
        <f t="shared" si="348"/>
        <v>0</v>
      </c>
    </row>
    <row r="563" spans="1:21" ht="18.75" hidden="1" x14ac:dyDescent="0.25">
      <c r="A563" s="126"/>
      <c r="B563" s="187"/>
      <c r="C563" s="187"/>
      <c r="D563" s="187"/>
      <c r="E563" s="154" t="s">
        <v>20</v>
      </c>
      <c r="F563" s="187"/>
      <c r="G563" s="39"/>
      <c r="H563" s="157" t="s">
        <v>14</v>
      </c>
      <c r="I563" s="133"/>
      <c r="J563" s="133"/>
      <c r="K563" s="134"/>
      <c r="L563" s="483">
        <v>0</v>
      </c>
      <c r="M563" s="80">
        <v>0</v>
      </c>
      <c r="N563" s="80">
        <v>0</v>
      </c>
      <c r="O563" s="80">
        <f t="shared" si="344"/>
        <v>0</v>
      </c>
      <c r="P563" s="80">
        <f t="shared" si="345"/>
        <v>0</v>
      </c>
      <c r="Q563" s="80">
        <v>0</v>
      </c>
      <c r="R563" s="80">
        <v>0</v>
      </c>
      <c r="S563" s="80">
        <v>0</v>
      </c>
      <c r="T563" s="80">
        <f t="shared" si="347"/>
        <v>0</v>
      </c>
      <c r="U563" s="80">
        <f t="shared" si="348"/>
        <v>0</v>
      </c>
    </row>
    <row r="564" spans="1:21" ht="18.75" hidden="1" x14ac:dyDescent="0.25">
      <c r="A564" s="126"/>
      <c r="B564" s="187"/>
      <c r="C564" s="187"/>
      <c r="D564" s="187"/>
      <c r="E564" s="254" t="s">
        <v>21</v>
      </c>
      <c r="F564" s="187"/>
      <c r="G564" s="39"/>
      <c r="H564" s="135" t="s">
        <v>14</v>
      </c>
      <c r="I564" s="133"/>
      <c r="J564" s="133"/>
      <c r="K564" s="134"/>
      <c r="L564" s="481">
        <v>0</v>
      </c>
      <c r="M564" s="230">
        <v>0</v>
      </c>
      <c r="N564" s="230">
        <v>0</v>
      </c>
      <c r="O564" s="230">
        <f t="shared" si="344"/>
        <v>0</v>
      </c>
      <c r="P564" s="230">
        <f t="shared" si="345"/>
        <v>0</v>
      </c>
      <c r="Q564" s="230">
        <v>0</v>
      </c>
      <c r="R564" s="230">
        <v>0</v>
      </c>
      <c r="S564" s="230">
        <v>0</v>
      </c>
      <c r="T564" s="230">
        <f t="shared" si="347"/>
        <v>0</v>
      </c>
      <c r="U564" s="230">
        <f t="shared" si="348"/>
        <v>0</v>
      </c>
    </row>
    <row r="565" spans="1:21" ht="19.5" hidden="1" x14ac:dyDescent="0.3">
      <c r="A565" s="136"/>
      <c r="B565" s="137"/>
      <c r="C565" s="377" t="s">
        <v>18</v>
      </c>
      <c r="D565" s="516" t="s">
        <v>38</v>
      </c>
      <c r="E565" s="139"/>
      <c r="F565" s="139"/>
      <c r="G565" s="140"/>
      <c r="H565" s="141"/>
      <c r="I565" s="133"/>
      <c r="J565" s="41"/>
      <c r="K565" s="42"/>
      <c r="L565" s="484"/>
      <c r="M565" s="42"/>
      <c r="N565" s="42"/>
      <c r="O565" s="134"/>
      <c r="P565" s="134"/>
      <c r="Q565" s="42"/>
      <c r="R565" s="42"/>
      <c r="S565" s="42"/>
      <c r="T565" s="134"/>
      <c r="U565" s="134"/>
    </row>
    <row r="566" spans="1:21" ht="12.75" hidden="1" x14ac:dyDescent="0.2">
      <c r="A566" s="233"/>
      <c r="B566" s="235"/>
      <c r="C566" s="234"/>
      <c r="D566" s="235"/>
      <c r="E566" s="234"/>
      <c r="F566" s="235"/>
      <c r="G566" s="236"/>
      <c r="H566" s="236"/>
      <c r="I566" s="238"/>
      <c r="J566" s="238"/>
      <c r="K566" s="239"/>
      <c r="L566" s="662"/>
      <c r="M566" s="239"/>
      <c r="N566" s="239"/>
      <c r="O566" s="239"/>
      <c r="P566" s="239"/>
      <c r="Q566" s="239"/>
      <c r="R566" s="239"/>
      <c r="S566" s="239"/>
      <c r="T566" s="239"/>
      <c r="U566" s="239"/>
    </row>
    <row r="567" spans="1:21" ht="12.75" hidden="1" x14ac:dyDescent="0.2">
      <c r="A567" s="233"/>
      <c r="B567" s="235"/>
      <c r="C567" s="234"/>
      <c r="D567" s="235"/>
      <c r="E567" s="234"/>
      <c r="F567" s="235"/>
      <c r="G567" s="236"/>
      <c r="H567" s="236"/>
      <c r="I567" s="238"/>
      <c r="J567" s="238"/>
      <c r="K567" s="239"/>
      <c r="L567" s="662"/>
      <c r="M567" s="239"/>
      <c r="N567" s="239"/>
      <c r="O567" s="239"/>
      <c r="P567" s="239"/>
      <c r="Q567" s="239"/>
      <c r="R567" s="239"/>
      <c r="S567" s="239"/>
      <c r="T567" s="239"/>
      <c r="U567" s="239"/>
    </row>
    <row r="568" spans="1:21" ht="12.75" hidden="1" x14ac:dyDescent="0.2">
      <c r="A568" s="233"/>
      <c r="B568" s="234"/>
      <c r="C568" s="234"/>
      <c r="D568" s="235"/>
      <c r="E568" s="235"/>
      <c r="F568" s="235"/>
      <c r="G568" s="236"/>
      <c r="H568" s="237"/>
      <c r="I568" s="238"/>
      <c r="J568" s="238"/>
      <c r="K568" s="239"/>
      <c r="L568" s="662"/>
      <c r="M568" s="239"/>
      <c r="N568" s="239"/>
      <c r="O568" s="239"/>
      <c r="P568" s="239"/>
      <c r="Q568" s="239"/>
      <c r="R568" s="239"/>
      <c r="S568" s="239"/>
      <c r="T568" s="239"/>
      <c r="U568" s="239"/>
    </row>
    <row r="569" spans="1:21" ht="12.75" hidden="1" x14ac:dyDescent="0.2">
      <c r="A569" s="233"/>
      <c r="B569" s="234"/>
      <c r="C569" s="234"/>
      <c r="D569" s="235"/>
      <c r="E569" s="235"/>
      <c r="F569" s="235"/>
      <c r="G569" s="236"/>
      <c r="H569" s="237"/>
      <c r="I569" s="238"/>
      <c r="J569" s="238"/>
      <c r="K569" s="239"/>
      <c r="L569" s="662"/>
      <c r="M569" s="239"/>
      <c r="N569" s="239"/>
      <c r="O569" s="239"/>
      <c r="P569" s="239"/>
      <c r="Q569" s="239"/>
      <c r="R569" s="239"/>
      <c r="S569" s="239"/>
      <c r="T569" s="239"/>
      <c r="U569" s="239"/>
    </row>
    <row r="570" spans="1:21" ht="12.75" hidden="1" x14ac:dyDescent="0.2">
      <c r="A570" s="233"/>
      <c r="B570" s="234"/>
      <c r="C570" s="234"/>
      <c r="D570" s="235"/>
      <c r="E570" s="235"/>
      <c r="F570" s="235"/>
      <c r="G570" s="236"/>
      <c r="H570" s="237"/>
      <c r="I570" s="238"/>
      <c r="J570" s="238"/>
      <c r="K570" s="239"/>
      <c r="L570" s="662"/>
      <c r="M570" s="239"/>
      <c r="N570" s="239"/>
      <c r="O570" s="239"/>
      <c r="P570" s="239"/>
      <c r="Q570" s="239"/>
      <c r="R570" s="239"/>
      <c r="S570" s="239"/>
      <c r="T570" s="239"/>
      <c r="U570" s="239"/>
    </row>
    <row r="571" spans="1:21" ht="12.75" hidden="1" x14ac:dyDescent="0.2">
      <c r="A571" s="233"/>
      <c r="B571" s="234"/>
      <c r="C571" s="234"/>
      <c r="D571" s="235"/>
      <c r="E571" s="235"/>
      <c r="F571" s="235"/>
      <c r="G571" s="236"/>
      <c r="H571" s="237"/>
      <c r="I571" s="238"/>
      <c r="J571" s="238"/>
      <c r="K571" s="239"/>
      <c r="L571" s="662"/>
      <c r="M571" s="239"/>
      <c r="N571" s="239"/>
      <c r="O571" s="239"/>
      <c r="P571" s="239"/>
      <c r="Q571" s="239"/>
      <c r="R571" s="239"/>
      <c r="S571" s="239"/>
      <c r="T571" s="239"/>
      <c r="U571" s="239"/>
    </row>
    <row r="572" spans="1:21" ht="12.75" hidden="1" x14ac:dyDescent="0.2">
      <c r="A572" s="233"/>
      <c r="B572" s="234"/>
      <c r="C572" s="234"/>
      <c r="D572" s="235"/>
      <c r="E572" s="235"/>
      <c r="F572" s="235"/>
      <c r="G572" s="236"/>
      <c r="H572" s="237"/>
      <c r="I572" s="238"/>
      <c r="J572" s="238"/>
      <c r="K572" s="239"/>
      <c r="L572" s="662"/>
      <c r="M572" s="239"/>
      <c r="N572" s="239"/>
      <c r="O572" s="239"/>
      <c r="P572" s="239"/>
      <c r="Q572" s="239"/>
      <c r="R572" s="239"/>
      <c r="S572" s="239"/>
      <c r="T572" s="239"/>
      <c r="U572" s="239"/>
    </row>
    <row r="573" spans="1:21" ht="12.75" hidden="1" x14ac:dyDescent="0.2">
      <c r="A573" s="233"/>
      <c r="B573" s="234"/>
      <c r="C573" s="234"/>
      <c r="D573" s="235"/>
      <c r="E573" s="235"/>
      <c r="F573" s="235"/>
      <c r="G573" s="236"/>
      <c r="H573" s="237"/>
      <c r="I573" s="238"/>
      <c r="J573" s="238"/>
      <c r="K573" s="239"/>
      <c r="L573" s="662"/>
      <c r="M573" s="239"/>
      <c r="N573" s="239"/>
      <c r="O573" s="239"/>
      <c r="P573" s="239"/>
      <c r="Q573" s="239"/>
      <c r="R573" s="239"/>
      <c r="S573" s="239"/>
      <c r="T573" s="239"/>
      <c r="U573" s="239"/>
    </row>
    <row r="574" spans="1:21" ht="12.75" hidden="1" x14ac:dyDescent="0.2">
      <c r="A574" s="233"/>
      <c r="B574" s="234"/>
      <c r="C574" s="234"/>
      <c r="D574" s="235"/>
      <c r="E574" s="235"/>
      <c r="F574" s="235"/>
      <c r="G574" s="236"/>
      <c r="H574" s="237"/>
      <c r="I574" s="238"/>
      <c r="J574" s="238"/>
      <c r="K574" s="239"/>
      <c r="L574" s="662"/>
      <c r="M574" s="239"/>
      <c r="N574" s="239"/>
      <c r="O574" s="239"/>
      <c r="P574" s="239"/>
      <c r="Q574" s="239"/>
      <c r="R574" s="239"/>
      <c r="S574" s="239"/>
      <c r="T574" s="239"/>
      <c r="U574" s="239"/>
    </row>
    <row r="575" spans="1:21" ht="12.75" hidden="1" x14ac:dyDescent="0.2">
      <c r="A575" s="372"/>
      <c r="B575" s="327"/>
      <c r="C575" s="327"/>
      <c r="D575" s="373"/>
      <c r="E575" s="373"/>
      <c r="F575" s="373"/>
      <c r="G575" s="374"/>
      <c r="H575" s="328"/>
      <c r="I575" s="329"/>
      <c r="J575" s="329"/>
      <c r="K575" s="330"/>
      <c r="L575" s="663"/>
      <c r="M575" s="330"/>
      <c r="N575" s="330"/>
      <c r="O575" s="330"/>
      <c r="P575" s="330"/>
      <c r="Q575" s="330"/>
      <c r="R575" s="330"/>
      <c r="S575" s="330"/>
      <c r="T575" s="330"/>
      <c r="U575" s="330"/>
    </row>
    <row r="576" spans="1:21" ht="19.5" hidden="1" x14ac:dyDescent="0.3">
      <c r="A576" s="361"/>
      <c r="B576" s="362" t="s">
        <v>212</v>
      </c>
      <c r="C576" s="363"/>
      <c r="D576" s="364"/>
      <c r="E576" s="364"/>
      <c r="F576" s="364"/>
      <c r="G576" s="365"/>
      <c r="H576" s="375" t="s">
        <v>61</v>
      </c>
      <c r="I576" s="376">
        <f t="shared" ref="I576:J576" si="355">I588</f>
        <v>0</v>
      </c>
      <c r="J576" s="376">
        <f t="shared" si="355"/>
        <v>0</v>
      </c>
      <c r="K576" s="687">
        <f>IF(I576&gt;0,J576*100/I576,0)</f>
        <v>0</v>
      </c>
      <c r="L576" s="675"/>
      <c r="M576" s="369"/>
      <c r="N576" s="369"/>
      <c r="O576" s="369"/>
      <c r="P576" s="369"/>
      <c r="Q576" s="369"/>
      <c r="R576" s="369"/>
      <c r="S576" s="369"/>
      <c r="T576" s="369"/>
      <c r="U576" s="369"/>
    </row>
    <row r="577" spans="1:21" ht="19.5" hidden="1" x14ac:dyDescent="0.3">
      <c r="A577" s="126"/>
      <c r="B577" s="187"/>
      <c r="C577" s="186" t="s">
        <v>18</v>
      </c>
      <c r="D577" s="513" t="s">
        <v>19</v>
      </c>
      <c r="E577" s="187"/>
      <c r="F577" s="187"/>
      <c r="G577" s="39"/>
      <c r="H577" s="129" t="s">
        <v>14</v>
      </c>
      <c r="I577" s="41"/>
      <c r="J577" s="41"/>
      <c r="K577" s="42"/>
      <c r="L577" s="514">
        <f t="shared" ref="L577:N577" si="356">L578+L579</f>
        <v>0</v>
      </c>
      <c r="M577" s="515">
        <f t="shared" si="356"/>
        <v>0</v>
      </c>
      <c r="N577" s="515">
        <f t="shared" si="356"/>
        <v>0</v>
      </c>
      <c r="O577" s="515">
        <f t="shared" ref="O577:O585" si="357">IF(L577&gt;0,N577*100/L577,0)</f>
        <v>0</v>
      </c>
      <c r="P577" s="515">
        <f t="shared" ref="P577:P585" si="358">IF(M577&gt;0,N577*100/M577,0)</f>
        <v>0</v>
      </c>
      <c r="Q577" s="515">
        <f t="shared" ref="Q577:S577" si="359">Q578+Q579</f>
        <v>0</v>
      </c>
      <c r="R577" s="515">
        <f t="shared" si="359"/>
        <v>0</v>
      </c>
      <c r="S577" s="515">
        <f t="shared" si="359"/>
        <v>0</v>
      </c>
      <c r="T577" s="515">
        <f t="shared" ref="T577:T585" si="360">IF(Q577&gt;0,S577*100/Q577,0)</f>
        <v>0</v>
      </c>
      <c r="U577" s="515">
        <f t="shared" ref="U577:U585" si="361">IF(R577&gt;0,S577*100/R577,0)</f>
        <v>0</v>
      </c>
    </row>
    <row r="578" spans="1:21" ht="18.75" hidden="1" x14ac:dyDescent="0.25">
      <c r="A578" s="126"/>
      <c r="B578" s="156"/>
      <c r="C578" s="187"/>
      <c r="D578" s="187"/>
      <c r="E578" s="154" t="s">
        <v>20</v>
      </c>
      <c r="F578" s="187"/>
      <c r="G578" s="39"/>
      <c r="H578" s="155" t="s">
        <v>14</v>
      </c>
      <c r="I578" s="41"/>
      <c r="J578" s="41"/>
      <c r="K578" s="42"/>
      <c r="L578" s="483">
        <f t="shared" ref="L578:N579" si="362">L581+L584</f>
        <v>0</v>
      </c>
      <c r="M578" s="80">
        <f t="shared" si="362"/>
        <v>0</v>
      </c>
      <c r="N578" s="80">
        <f t="shared" si="362"/>
        <v>0</v>
      </c>
      <c r="O578" s="80">
        <f t="shared" si="357"/>
        <v>0</v>
      </c>
      <c r="P578" s="80">
        <f t="shared" si="358"/>
        <v>0</v>
      </c>
      <c r="Q578" s="80">
        <f t="shared" ref="Q578:S579" si="363">Q581+Q584</f>
        <v>0</v>
      </c>
      <c r="R578" s="80">
        <f t="shared" si="363"/>
        <v>0</v>
      </c>
      <c r="S578" s="80">
        <f t="shared" si="363"/>
        <v>0</v>
      </c>
      <c r="T578" s="80">
        <f t="shared" si="360"/>
        <v>0</v>
      </c>
      <c r="U578" s="80">
        <f t="shared" si="361"/>
        <v>0</v>
      </c>
    </row>
    <row r="579" spans="1:21" ht="18.75" hidden="1" x14ac:dyDescent="0.25">
      <c r="A579" s="126"/>
      <c r="B579" s="187"/>
      <c r="C579" s="156"/>
      <c r="D579" s="187"/>
      <c r="E579" s="426" t="s">
        <v>21</v>
      </c>
      <c r="F579" s="187"/>
      <c r="G579" s="39"/>
      <c r="H579" s="131" t="s">
        <v>14</v>
      </c>
      <c r="I579" s="41"/>
      <c r="J579" s="41"/>
      <c r="K579" s="42"/>
      <c r="L579" s="481">
        <f t="shared" si="362"/>
        <v>0</v>
      </c>
      <c r="M579" s="230">
        <f t="shared" si="362"/>
        <v>0</v>
      </c>
      <c r="N579" s="230">
        <f t="shared" si="362"/>
        <v>0</v>
      </c>
      <c r="O579" s="230">
        <f t="shared" si="357"/>
        <v>0</v>
      </c>
      <c r="P579" s="230">
        <f t="shared" si="358"/>
        <v>0</v>
      </c>
      <c r="Q579" s="230">
        <f t="shared" si="363"/>
        <v>0</v>
      </c>
      <c r="R579" s="230">
        <f t="shared" si="363"/>
        <v>0</v>
      </c>
      <c r="S579" s="230">
        <f t="shared" si="363"/>
        <v>0</v>
      </c>
      <c r="T579" s="230">
        <f t="shared" si="360"/>
        <v>0</v>
      </c>
      <c r="U579" s="230">
        <f t="shared" si="361"/>
        <v>0</v>
      </c>
    </row>
    <row r="580" spans="1:21" ht="18.75" hidden="1" x14ac:dyDescent="0.25">
      <c r="A580" s="126"/>
      <c r="B580" s="187"/>
      <c r="C580" s="156"/>
      <c r="D580" s="38" t="s">
        <v>22</v>
      </c>
      <c r="E580" s="156"/>
      <c r="F580" s="187"/>
      <c r="G580" s="39"/>
      <c r="H580" s="132" t="s">
        <v>14</v>
      </c>
      <c r="I580" s="133"/>
      <c r="J580" s="133"/>
      <c r="K580" s="134"/>
      <c r="L580" s="481">
        <f t="shared" ref="L580:N580" si="364">L581+L582</f>
        <v>0</v>
      </c>
      <c r="M580" s="230">
        <f t="shared" si="364"/>
        <v>0</v>
      </c>
      <c r="N580" s="230">
        <f t="shared" si="364"/>
        <v>0</v>
      </c>
      <c r="O580" s="230">
        <f t="shared" si="357"/>
        <v>0</v>
      </c>
      <c r="P580" s="230">
        <f t="shared" si="358"/>
        <v>0</v>
      </c>
      <c r="Q580" s="230">
        <f t="shared" ref="Q580:S580" si="365">Q581+Q582</f>
        <v>0</v>
      </c>
      <c r="R580" s="230">
        <f t="shared" si="365"/>
        <v>0</v>
      </c>
      <c r="S580" s="230">
        <f t="shared" si="365"/>
        <v>0</v>
      </c>
      <c r="T580" s="230">
        <f t="shared" si="360"/>
        <v>0</v>
      </c>
      <c r="U580" s="230">
        <f t="shared" si="361"/>
        <v>0</v>
      </c>
    </row>
    <row r="581" spans="1:21" ht="18.75" hidden="1" x14ac:dyDescent="0.25">
      <c r="A581" s="126"/>
      <c r="B581" s="187"/>
      <c r="C581" s="187"/>
      <c r="D581" s="187"/>
      <c r="E581" s="154" t="s">
        <v>36</v>
      </c>
      <c r="F581" s="187"/>
      <c r="G581" s="39"/>
      <c r="H581" s="157" t="s">
        <v>14</v>
      </c>
      <c r="I581" s="133"/>
      <c r="J581" s="133"/>
      <c r="K581" s="134"/>
      <c r="L581" s="483">
        <v>0</v>
      </c>
      <c r="M581" s="80">
        <v>0</v>
      </c>
      <c r="N581" s="80">
        <v>0</v>
      </c>
      <c r="O581" s="80">
        <f t="shared" si="357"/>
        <v>0</v>
      </c>
      <c r="P581" s="80">
        <f t="shared" si="358"/>
        <v>0</v>
      </c>
      <c r="Q581" s="80">
        <v>0</v>
      </c>
      <c r="R581" s="80">
        <v>0</v>
      </c>
      <c r="S581" s="80">
        <v>0</v>
      </c>
      <c r="T581" s="80">
        <f t="shared" si="360"/>
        <v>0</v>
      </c>
      <c r="U581" s="80">
        <f t="shared" si="361"/>
        <v>0</v>
      </c>
    </row>
    <row r="582" spans="1:21" ht="18.75" hidden="1" x14ac:dyDescent="0.25">
      <c r="A582" s="126"/>
      <c r="B582" s="187"/>
      <c r="C582" s="187"/>
      <c r="D582" s="187"/>
      <c r="E582" s="254" t="s">
        <v>37</v>
      </c>
      <c r="F582" s="187"/>
      <c r="G582" s="39"/>
      <c r="H582" s="132" t="s">
        <v>14</v>
      </c>
      <c r="I582" s="133"/>
      <c r="J582" s="133"/>
      <c r="K582" s="134"/>
      <c r="L582" s="481">
        <v>0</v>
      </c>
      <c r="M582" s="230">
        <v>0</v>
      </c>
      <c r="N582" s="230">
        <v>0</v>
      </c>
      <c r="O582" s="230">
        <f t="shared" si="357"/>
        <v>0</v>
      </c>
      <c r="P582" s="230">
        <f t="shared" si="358"/>
        <v>0</v>
      </c>
      <c r="Q582" s="230">
        <v>0</v>
      </c>
      <c r="R582" s="230">
        <v>0</v>
      </c>
      <c r="S582" s="230">
        <v>0</v>
      </c>
      <c r="T582" s="230">
        <f t="shared" si="360"/>
        <v>0</v>
      </c>
      <c r="U582" s="230">
        <f t="shared" si="361"/>
        <v>0</v>
      </c>
    </row>
    <row r="583" spans="1:21" ht="18.75" hidden="1" x14ac:dyDescent="0.25">
      <c r="A583" s="126"/>
      <c r="B583" s="187"/>
      <c r="C583" s="187"/>
      <c r="D583" s="38" t="s">
        <v>23</v>
      </c>
      <c r="E583" s="187"/>
      <c r="F583" s="187"/>
      <c r="G583" s="39"/>
      <c r="H583" s="135" t="s">
        <v>14</v>
      </c>
      <c r="I583" s="133"/>
      <c r="J583" s="133"/>
      <c r="K583" s="134"/>
      <c r="L583" s="481">
        <f t="shared" ref="L583:N583" si="366">L584+L585</f>
        <v>0</v>
      </c>
      <c r="M583" s="230">
        <f t="shared" si="366"/>
        <v>0</v>
      </c>
      <c r="N583" s="230">
        <f t="shared" si="366"/>
        <v>0</v>
      </c>
      <c r="O583" s="230">
        <f t="shared" si="357"/>
        <v>0</v>
      </c>
      <c r="P583" s="230">
        <f t="shared" si="358"/>
        <v>0</v>
      </c>
      <c r="Q583" s="230">
        <f t="shared" ref="Q583:S583" si="367">Q584+Q585</f>
        <v>0</v>
      </c>
      <c r="R583" s="230">
        <f t="shared" si="367"/>
        <v>0</v>
      </c>
      <c r="S583" s="230">
        <f t="shared" si="367"/>
        <v>0</v>
      </c>
      <c r="T583" s="230">
        <f t="shared" si="360"/>
        <v>0</v>
      </c>
      <c r="U583" s="230">
        <f t="shared" si="361"/>
        <v>0</v>
      </c>
    </row>
    <row r="584" spans="1:21" ht="18.75" hidden="1" x14ac:dyDescent="0.25">
      <c r="A584" s="126"/>
      <c r="B584" s="187"/>
      <c r="C584" s="187"/>
      <c r="D584" s="187"/>
      <c r="E584" s="154" t="s">
        <v>20</v>
      </c>
      <c r="F584" s="187"/>
      <c r="G584" s="39"/>
      <c r="H584" s="157" t="s">
        <v>14</v>
      </c>
      <c r="I584" s="133"/>
      <c r="J584" s="133"/>
      <c r="K584" s="134"/>
      <c r="L584" s="483">
        <v>0</v>
      </c>
      <c r="M584" s="80">
        <v>0</v>
      </c>
      <c r="N584" s="80">
        <v>0</v>
      </c>
      <c r="O584" s="80">
        <f t="shared" si="357"/>
        <v>0</v>
      </c>
      <c r="P584" s="80">
        <f t="shared" si="358"/>
        <v>0</v>
      </c>
      <c r="Q584" s="80">
        <v>0</v>
      </c>
      <c r="R584" s="80">
        <v>0</v>
      </c>
      <c r="S584" s="80">
        <v>0</v>
      </c>
      <c r="T584" s="80">
        <f t="shared" si="360"/>
        <v>0</v>
      </c>
      <c r="U584" s="80">
        <f t="shared" si="361"/>
        <v>0</v>
      </c>
    </row>
    <row r="585" spans="1:21" ht="18.75" hidden="1" x14ac:dyDescent="0.25">
      <c r="A585" s="126"/>
      <c r="B585" s="187"/>
      <c r="C585" s="187"/>
      <c r="D585" s="187"/>
      <c r="E585" s="254" t="s">
        <v>21</v>
      </c>
      <c r="F585" s="187"/>
      <c r="G585" s="39"/>
      <c r="H585" s="135" t="s">
        <v>14</v>
      </c>
      <c r="I585" s="133"/>
      <c r="J585" s="133"/>
      <c r="K585" s="134"/>
      <c r="L585" s="481">
        <v>0</v>
      </c>
      <c r="M585" s="230">
        <v>0</v>
      </c>
      <c r="N585" s="230">
        <v>0</v>
      </c>
      <c r="O585" s="230">
        <f t="shared" si="357"/>
        <v>0</v>
      </c>
      <c r="P585" s="230">
        <f t="shared" si="358"/>
        <v>0</v>
      </c>
      <c r="Q585" s="230">
        <v>0</v>
      </c>
      <c r="R585" s="230">
        <v>0</v>
      </c>
      <c r="S585" s="230">
        <v>0</v>
      </c>
      <c r="T585" s="230">
        <f t="shared" si="360"/>
        <v>0</v>
      </c>
      <c r="U585" s="230">
        <f t="shared" si="361"/>
        <v>0</v>
      </c>
    </row>
    <row r="586" spans="1:21" ht="19.5" hidden="1" x14ac:dyDescent="0.3">
      <c r="A586" s="136"/>
      <c r="B586" s="137"/>
      <c r="C586" s="377" t="s">
        <v>18</v>
      </c>
      <c r="D586" s="516" t="s">
        <v>38</v>
      </c>
      <c r="E586" s="139"/>
      <c r="F586" s="139"/>
      <c r="G586" s="140"/>
      <c r="H586" s="141"/>
      <c r="I586" s="133"/>
      <c r="J586" s="41"/>
      <c r="K586" s="42"/>
      <c r="L586" s="484"/>
      <c r="M586" s="42"/>
      <c r="N586" s="42"/>
      <c r="O586" s="134"/>
      <c r="P586" s="134"/>
      <c r="Q586" s="42"/>
      <c r="R586" s="42"/>
      <c r="S586" s="42"/>
      <c r="T586" s="134"/>
      <c r="U586" s="134"/>
    </row>
    <row r="587" spans="1:21" ht="12.75" hidden="1" x14ac:dyDescent="0.2">
      <c r="A587" s="233"/>
      <c r="B587" s="235"/>
      <c r="C587" s="234"/>
      <c r="D587" s="235"/>
      <c r="E587" s="234"/>
      <c r="F587" s="235"/>
      <c r="G587" s="236"/>
      <c r="H587" s="236"/>
      <c r="I587" s="238"/>
      <c r="J587" s="238"/>
      <c r="K587" s="239"/>
      <c r="L587" s="662"/>
      <c r="M587" s="239"/>
      <c r="N587" s="239"/>
      <c r="O587" s="239"/>
      <c r="P587" s="239"/>
      <c r="Q587" s="239"/>
      <c r="R587" s="239"/>
      <c r="S587" s="239"/>
      <c r="T587" s="239"/>
      <c r="U587" s="239"/>
    </row>
    <row r="588" spans="1:21" ht="12.75" hidden="1" x14ac:dyDescent="0.2">
      <c r="A588" s="233"/>
      <c r="B588" s="235"/>
      <c r="C588" s="234"/>
      <c r="D588" s="235"/>
      <c r="E588" s="234"/>
      <c r="F588" s="235"/>
      <c r="G588" s="236"/>
      <c r="H588" s="236"/>
      <c r="I588" s="238"/>
      <c r="J588" s="238"/>
      <c r="K588" s="239"/>
      <c r="L588" s="662"/>
      <c r="M588" s="239"/>
      <c r="N588" s="239"/>
      <c r="O588" s="239"/>
      <c r="P588" s="239"/>
      <c r="Q588" s="239"/>
      <c r="R588" s="239"/>
      <c r="S588" s="239"/>
      <c r="T588" s="239"/>
      <c r="U588" s="239"/>
    </row>
    <row r="589" spans="1:21" ht="12.75" hidden="1" x14ac:dyDescent="0.2">
      <c r="A589" s="233"/>
      <c r="B589" s="234"/>
      <c r="C589" s="234"/>
      <c r="D589" s="235"/>
      <c r="E589" s="235"/>
      <c r="F589" s="235"/>
      <c r="G589" s="236"/>
      <c r="H589" s="237"/>
      <c r="I589" s="238"/>
      <c r="J589" s="238"/>
      <c r="K589" s="239"/>
      <c r="L589" s="662"/>
      <c r="M589" s="239"/>
      <c r="N589" s="239"/>
      <c r="O589" s="239"/>
      <c r="P589" s="239"/>
      <c r="Q589" s="239"/>
      <c r="R589" s="239"/>
      <c r="S589" s="239"/>
      <c r="T589" s="239"/>
      <c r="U589" s="239"/>
    </row>
    <row r="590" spans="1:21" ht="12.75" hidden="1" x14ac:dyDescent="0.2">
      <c r="A590" s="233"/>
      <c r="B590" s="234"/>
      <c r="C590" s="234"/>
      <c r="D590" s="235"/>
      <c r="E590" s="235"/>
      <c r="F590" s="235"/>
      <c r="G590" s="236"/>
      <c r="H590" s="237"/>
      <c r="I590" s="238"/>
      <c r="J590" s="238"/>
      <c r="K590" s="239"/>
      <c r="L590" s="662"/>
      <c r="M590" s="239"/>
      <c r="N590" s="239"/>
      <c r="O590" s="239"/>
      <c r="P590" s="239"/>
      <c r="Q590" s="239"/>
      <c r="R590" s="239"/>
      <c r="S590" s="239"/>
      <c r="T590" s="239"/>
      <c r="U590" s="239"/>
    </row>
    <row r="591" spans="1:21" ht="12.75" hidden="1" x14ac:dyDescent="0.2">
      <c r="A591" s="233"/>
      <c r="B591" s="234"/>
      <c r="C591" s="234"/>
      <c r="D591" s="235"/>
      <c r="E591" s="235"/>
      <c r="F591" s="235"/>
      <c r="G591" s="236"/>
      <c r="H591" s="237"/>
      <c r="I591" s="238"/>
      <c r="J591" s="238"/>
      <c r="K591" s="239"/>
      <c r="L591" s="662"/>
      <c r="M591" s="239"/>
      <c r="N591" s="239"/>
      <c r="O591" s="239"/>
      <c r="P591" s="239"/>
      <c r="Q591" s="239"/>
      <c r="R591" s="239"/>
      <c r="S591" s="239"/>
      <c r="T591" s="239"/>
      <c r="U591" s="239"/>
    </row>
    <row r="592" spans="1:21" ht="12.75" hidden="1" x14ac:dyDescent="0.2">
      <c r="A592" s="233"/>
      <c r="B592" s="234"/>
      <c r="C592" s="234"/>
      <c r="D592" s="235"/>
      <c r="E592" s="235"/>
      <c r="F592" s="235"/>
      <c r="G592" s="236"/>
      <c r="H592" s="237"/>
      <c r="I592" s="238"/>
      <c r="J592" s="238"/>
      <c r="K592" s="239"/>
      <c r="L592" s="662"/>
      <c r="M592" s="239"/>
      <c r="N592" s="239"/>
      <c r="O592" s="239"/>
      <c r="P592" s="239"/>
      <c r="Q592" s="239"/>
      <c r="R592" s="239"/>
      <c r="S592" s="239"/>
      <c r="T592" s="239"/>
      <c r="U592" s="239"/>
    </row>
    <row r="593" spans="1:21" ht="12.75" hidden="1" x14ac:dyDescent="0.2">
      <c r="A593" s="233"/>
      <c r="B593" s="234"/>
      <c r="C593" s="234"/>
      <c r="D593" s="235"/>
      <c r="E593" s="235"/>
      <c r="F593" s="235"/>
      <c r="G593" s="236"/>
      <c r="H593" s="237"/>
      <c r="I593" s="238"/>
      <c r="J593" s="238"/>
      <c r="K593" s="239"/>
      <c r="L593" s="662"/>
      <c r="M593" s="239"/>
      <c r="N593" s="239"/>
      <c r="O593" s="239"/>
      <c r="P593" s="239"/>
      <c r="Q593" s="239"/>
      <c r="R593" s="239"/>
      <c r="S593" s="239"/>
      <c r="T593" s="239"/>
      <c r="U593" s="239"/>
    </row>
    <row r="594" spans="1:21" ht="12.75" hidden="1" x14ac:dyDescent="0.2">
      <c r="A594" s="233"/>
      <c r="B594" s="234"/>
      <c r="C594" s="234"/>
      <c r="D594" s="235"/>
      <c r="E594" s="235"/>
      <c r="F594" s="235"/>
      <c r="G594" s="236"/>
      <c r="H594" s="237"/>
      <c r="I594" s="238"/>
      <c r="J594" s="238"/>
      <c r="K594" s="239"/>
      <c r="L594" s="662"/>
      <c r="M594" s="239"/>
      <c r="N594" s="239"/>
      <c r="O594" s="239"/>
      <c r="P594" s="239"/>
      <c r="Q594" s="239"/>
      <c r="R594" s="239"/>
      <c r="S594" s="239"/>
      <c r="T594" s="239"/>
      <c r="U594" s="239"/>
    </row>
    <row r="595" spans="1:21" ht="12.75" hidden="1" x14ac:dyDescent="0.2">
      <c r="A595" s="233"/>
      <c r="B595" s="234"/>
      <c r="C595" s="234"/>
      <c r="D595" s="235"/>
      <c r="E595" s="235"/>
      <c r="F595" s="235"/>
      <c r="G595" s="236"/>
      <c r="H595" s="237"/>
      <c r="I595" s="238"/>
      <c r="J595" s="238"/>
      <c r="K595" s="239"/>
      <c r="L595" s="662"/>
      <c r="M595" s="239"/>
      <c r="N595" s="239"/>
      <c r="O595" s="239"/>
      <c r="P595" s="239"/>
      <c r="Q595" s="239"/>
      <c r="R595" s="239"/>
      <c r="S595" s="239"/>
      <c r="T595" s="239"/>
      <c r="U595" s="239"/>
    </row>
    <row r="596" spans="1:21" ht="12.75" hidden="1" x14ac:dyDescent="0.2">
      <c r="A596" s="372"/>
      <c r="B596" s="327"/>
      <c r="C596" s="327"/>
      <c r="D596" s="373"/>
      <c r="E596" s="373"/>
      <c r="F596" s="373"/>
      <c r="G596" s="374"/>
      <c r="H596" s="328"/>
      <c r="I596" s="329"/>
      <c r="J596" s="329"/>
      <c r="K596" s="330"/>
      <c r="L596" s="663"/>
      <c r="M596" s="330"/>
      <c r="N596" s="330"/>
      <c r="O596" s="330"/>
      <c r="P596" s="330"/>
      <c r="Q596" s="330"/>
      <c r="R596" s="330"/>
      <c r="S596" s="330"/>
      <c r="T596" s="330"/>
      <c r="U596" s="330"/>
    </row>
    <row r="597" spans="1:21" ht="19.5" hidden="1" x14ac:dyDescent="0.3">
      <c r="A597" s="378" t="s">
        <v>213</v>
      </c>
      <c r="B597" s="116"/>
      <c r="C597" s="169"/>
      <c r="D597" s="116"/>
      <c r="E597" s="116"/>
      <c r="F597" s="116"/>
      <c r="G597" s="116"/>
      <c r="H597" s="117"/>
      <c r="I597" s="170"/>
      <c r="J597" s="170"/>
      <c r="K597" s="171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</row>
    <row r="598" spans="1:21" ht="19.5" hidden="1" x14ac:dyDescent="0.3">
      <c r="A598" s="121"/>
      <c r="B598" s="379" t="s">
        <v>214</v>
      </c>
      <c r="C598" s="173"/>
      <c r="D598" s="123"/>
      <c r="E598" s="24"/>
      <c r="F598" s="24"/>
      <c r="G598" s="24"/>
      <c r="H598" s="380" t="s">
        <v>99</v>
      </c>
      <c r="I598" s="183"/>
      <c r="J598" s="29"/>
      <c r="K598" s="30"/>
      <c r="L598" s="512"/>
      <c r="M598" s="30"/>
      <c r="N598" s="30"/>
      <c r="O598" s="30"/>
      <c r="P598" s="30"/>
      <c r="Q598" s="30"/>
      <c r="R598" s="30"/>
      <c r="S598" s="30"/>
      <c r="T598" s="30"/>
      <c r="U598" s="30"/>
    </row>
    <row r="599" spans="1:21" ht="19.5" hidden="1" x14ac:dyDescent="0.3">
      <c r="A599" s="381"/>
      <c r="B599" s="382" t="s">
        <v>215</v>
      </c>
      <c r="C599" s="123"/>
      <c r="D599" s="24"/>
      <c r="E599" s="24"/>
      <c r="F599" s="24"/>
      <c r="G599" s="27"/>
      <c r="H599" s="383" t="s">
        <v>35</v>
      </c>
      <c r="I599" s="29"/>
      <c r="J599" s="29"/>
      <c r="K599" s="30"/>
      <c r="L599" s="512"/>
      <c r="M599" s="30"/>
      <c r="N599" s="30"/>
      <c r="O599" s="30"/>
      <c r="P599" s="30"/>
      <c r="Q599" s="30"/>
      <c r="R599" s="30"/>
      <c r="S599" s="30"/>
      <c r="T599" s="30"/>
      <c r="U599" s="30"/>
    </row>
    <row r="600" spans="1:21" ht="19.5" hidden="1" x14ac:dyDescent="0.3">
      <c r="A600" s="126"/>
      <c r="B600" s="156"/>
      <c r="C600" s="178" t="s">
        <v>18</v>
      </c>
      <c r="D600" s="831" t="s">
        <v>19</v>
      </c>
      <c r="E600" s="812"/>
      <c r="F600" s="812"/>
      <c r="G600" s="813"/>
      <c r="H600" s="384" t="s">
        <v>14</v>
      </c>
      <c r="I600" s="41"/>
      <c r="J600" s="41"/>
      <c r="K600" s="42"/>
      <c r="L600" s="514">
        <f t="shared" ref="L600:N600" si="368">L601+L602</f>
        <v>0</v>
      </c>
      <c r="M600" s="515">
        <f t="shared" si="368"/>
        <v>0</v>
      </c>
      <c r="N600" s="515">
        <f t="shared" si="368"/>
        <v>0</v>
      </c>
      <c r="O600" s="515">
        <f t="shared" ref="O600:O608" si="369">IF(L600&gt;0,N600*100/L600,0)</f>
        <v>0</v>
      </c>
      <c r="P600" s="515">
        <f t="shared" ref="P600:P608" si="370">IF(M600&gt;0,N600*100/M600,0)</f>
        <v>0</v>
      </c>
      <c r="Q600" s="515">
        <f t="shared" ref="Q600:S600" si="371">Q601+Q602</f>
        <v>0</v>
      </c>
      <c r="R600" s="515">
        <f t="shared" si="371"/>
        <v>0</v>
      </c>
      <c r="S600" s="515">
        <f t="shared" si="371"/>
        <v>0</v>
      </c>
      <c r="T600" s="515">
        <f t="shared" ref="T600:T608" si="372">IF(Q600&gt;0,S600*100/Q600,0)</f>
        <v>0</v>
      </c>
      <c r="U600" s="515">
        <f t="shared" ref="U600:U608" si="373">IF(R600&gt;0,S600*100/R600,0)</f>
        <v>0</v>
      </c>
    </row>
    <row r="601" spans="1:21" ht="18.75" hidden="1" x14ac:dyDescent="0.25">
      <c r="A601" s="126"/>
      <c r="B601" s="156"/>
      <c r="C601" s="156"/>
      <c r="D601" s="167"/>
      <c r="E601" s="154" t="s">
        <v>158</v>
      </c>
      <c r="F601" s="187"/>
      <c r="G601" s="39"/>
      <c r="H601" s="157" t="s">
        <v>14</v>
      </c>
      <c r="I601" s="41"/>
      <c r="J601" s="41"/>
      <c r="K601" s="42"/>
      <c r="L601" s="483">
        <f t="shared" ref="L601:N602" si="374">L604+L607</f>
        <v>0</v>
      </c>
      <c r="M601" s="80">
        <f t="shared" si="374"/>
        <v>0</v>
      </c>
      <c r="N601" s="80">
        <f t="shared" si="374"/>
        <v>0</v>
      </c>
      <c r="O601" s="80">
        <f t="shared" si="369"/>
        <v>0</v>
      </c>
      <c r="P601" s="80">
        <f t="shared" si="370"/>
        <v>0</v>
      </c>
      <c r="Q601" s="80">
        <f t="shared" ref="Q601:S602" si="375">Q604+Q607</f>
        <v>0</v>
      </c>
      <c r="R601" s="80">
        <f t="shared" si="375"/>
        <v>0</v>
      </c>
      <c r="S601" s="80">
        <f t="shared" si="375"/>
        <v>0</v>
      </c>
      <c r="T601" s="80">
        <f t="shared" si="372"/>
        <v>0</v>
      </c>
      <c r="U601" s="80">
        <f t="shared" si="373"/>
        <v>0</v>
      </c>
    </row>
    <row r="602" spans="1:21" ht="18.75" hidden="1" x14ac:dyDescent="0.25">
      <c r="A602" s="126"/>
      <c r="B602" s="156"/>
      <c r="C602" s="156"/>
      <c r="D602" s="167"/>
      <c r="E602" s="154" t="s">
        <v>159</v>
      </c>
      <c r="F602" s="187"/>
      <c r="G602" s="39"/>
      <c r="H602" s="157" t="s">
        <v>14</v>
      </c>
      <c r="I602" s="41"/>
      <c r="J602" s="41"/>
      <c r="K602" s="42"/>
      <c r="L602" s="481">
        <f t="shared" si="374"/>
        <v>0</v>
      </c>
      <c r="M602" s="230">
        <f t="shared" si="374"/>
        <v>0</v>
      </c>
      <c r="N602" s="230">
        <f t="shared" si="374"/>
        <v>0</v>
      </c>
      <c r="O602" s="230">
        <f t="shared" si="369"/>
        <v>0</v>
      </c>
      <c r="P602" s="230">
        <f t="shared" si="370"/>
        <v>0</v>
      </c>
      <c r="Q602" s="230">
        <f t="shared" si="375"/>
        <v>0</v>
      </c>
      <c r="R602" s="230">
        <f t="shared" si="375"/>
        <v>0</v>
      </c>
      <c r="S602" s="230">
        <f t="shared" si="375"/>
        <v>0</v>
      </c>
      <c r="T602" s="230">
        <f t="shared" si="372"/>
        <v>0</v>
      </c>
      <c r="U602" s="230">
        <f t="shared" si="373"/>
        <v>0</v>
      </c>
    </row>
    <row r="603" spans="1:21" ht="19.5" hidden="1" x14ac:dyDescent="0.3">
      <c r="A603" s="126"/>
      <c r="B603" s="156"/>
      <c r="C603" s="156"/>
      <c r="D603" s="550" t="s">
        <v>22</v>
      </c>
      <c r="E603" s="187"/>
      <c r="F603" s="187"/>
      <c r="G603" s="39"/>
      <c r="H603" s="384" t="s">
        <v>14</v>
      </c>
      <c r="I603" s="133"/>
      <c r="J603" s="133"/>
      <c r="K603" s="134"/>
      <c r="L603" s="481">
        <f t="shared" ref="L603:N603" si="376">L604+L605</f>
        <v>0</v>
      </c>
      <c r="M603" s="230">
        <f t="shared" si="376"/>
        <v>0</v>
      </c>
      <c r="N603" s="230">
        <f t="shared" si="376"/>
        <v>0</v>
      </c>
      <c r="O603" s="230">
        <f t="shared" si="369"/>
        <v>0</v>
      </c>
      <c r="P603" s="230">
        <f t="shared" si="370"/>
        <v>0</v>
      </c>
      <c r="Q603" s="230">
        <f t="shared" ref="Q603:S603" si="377">Q604+Q605</f>
        <v>0</v>
      </c>
      <c r="R603" s="230">
        <f t="shared" si="377"/>
        <v>0</v>
      </c>
      <c r="S603" s="230">
        <f t="shared" si="377"/>
        <v>0</v>
      </c>
      <c r="T603" s="230">
        <f t="shared" si="372"/>
        <v>0</v>
      </c>
      <c r="U603" s="230">
        <f t="shared" si="373"/>
        <v>0</v>
      </c>
    </row>
    <row r="604" spans="1:21" ht="18.75" hidden="1" x14ac:dyDescent="0.25">
      <c r="A604" s="126"/>
      <c r="B604" s="156"/>
      <c r="C604" s="156"/>
      <c r="D604" s="167"/>
      <c r="E604" s="154" t="s">
        <v>158</v>
      </c>
      <c r="F604" s="187"/>
      <c r="G604" s="39"/>
      <c r="H604" s="157" t="s">
        <v>14</v>
      </c>
      <c r="I604" s="41"/>
      <c r="J604" s="41"/>
      <c r="K604" s="42"/>
      <c r="L604" s="483">
        <v>0</v>
      </c>
      <c r="M604" s="80">
        <v>0</v>
      </c>
      <c r="N604" s="80">
        <v>0</v>
      </c>
      <c r="O604" s="80">
        <f t="shared" si="369"/>
        <v>0</v>
      </c>
      <c r="P604" s="80">
        <f t="shared" si="370"/>
        <v>0</v>
      </c>
      <c r="Q604" s="80">
        <v>0</v>
      </c>
      <c r="R604" s="80">
        <v>0</v>
      </c>
      <c r="S604" s="80">
        <v>0</v>
      </c>
      <c r="T604" s="80">
        <f t="shared" si="372"/>
        <v>0</v>
      </c>
      <c r="U604" s="80">
        <f t="shared" si="373"/>
        <v>0</v>
      </c>
    </row>
    <row r="605" spans="1:21" ht="18.75" hidden="1" x14ac:dyDescent="0.25">
      <c r="A605" s="126"/>
      <c r="B605" s="156"/>
      <c r="C605" s="156"/>
      <c r="D605" s="167"/>
      <c r="E605" s="154" t="s">
        <v>159</v>
      </c>
      <c r="F605" s="187"/>
      <c r="G605" s="39"/>
      <c r="H605" s="157" t="s">
        <v>14</v>
      </c>
      <c r="I605" s="41"/>
      <c r="J605" s="41"/>
      <c r="K605" s="42"/>
      <c r="L605" s="481">
        <v>0</v>
      </c>
      <c r="M605" s="230">
        <v>0</v>
      </c>
      <c r="N605" s="230">
        <v>0</v>
      </c>
      <c r="O605" s="230">
        <f t="shared" si="369"/>
        <v>0</v>
      </c>
      <c r="P605" s="230">
        <f t="shared" si="370"/>
        <v>0</v>
      </c>
      <c r="Q605" s="230">
        <v>0</v>
      </c>
      <c r="R605" s="230">
        <v>0</v>
      </c>
      <c r="S605" s="230">
        <v>0</v>
      </c>
      <c r="T605" s="230">
        <f t="shared" si="372"/>
        <v>0</v>
      </c>
      <c r="U605" s="230">
        <f t="shared" si="373"/>
        <v>0</v>
      </c>
    </row>
    <row r="606" spans="1:21" ht="19.5" hidden="1" x14ac:dyDescent="0.3">
      <c r="A606" s="126"/>
      <c r="B606" s="156"/>
      <c r="C606" s="156"/>
      <c r="D606" s="550" t="s">
        <v>23</v>
      </c>
      <c r="E606" s="156"/>
      <c r="F606" s="187"/>
      <c r="G606" s="39"/>
      <c r="H606" s="386" t="s">
        <v>14</v>
      </c>
      <c r="I606" s="133"/>
      <c r="J606" s="133"/>
      <c r="K606" s="134"/>
      <c r="L606" s="481">
        <f t="shared" ref="L606:N606" si="378">L607+L608</f>
        <v>0</v>
      </c>
      <c r="M606" s="230">
        <f t="shared" si="378"/>
        <v>0</v>
      </c>
      <c r="N606" s="230">
        <f t="shared" si="378"/>
        <v>0</v>
      </c>
      <c r="O606" s="230">
        <f t="shared" si="369"/>
        <v>0</v>
      </c>
      <c r="P606" s="230">
        <f t="shared" si="370"/>
        <v>0</v>
      </c>
      <c r="Q606" s="230">
        <f t="shared" ref="Q606:S606" si="379">Q607+Q608</f>
        <v>0</v>
      </c>
      <c r="R606" s="230">
        <f t="shared" si="379"/>
        <v>0</v>
      </c>
      <c r="S606" s="230">
        <f t="shared" si="379"/>
        <v>0</v>
      </c>
      <c r="T606" s="230">
        <f t="shared" si="372"/>
        <v>0</v>
      </c>
      <c r="U606" s="230">
        <f t="shared" si="373"/>
        <v>0</v>
      </c>
    </row>
    <row r="607" spans="1:21" ht="18.75" hidden="1" x14ac:dyDescent="0.25">
      <c r="A607" s="126"/>
      <c r="B607" s="156"/>
      <c r="C607" s="156"/>
      <c r="D607" s="156"/>
      <c r="E607" s="442" t="s">
        <v>20</v>
      </c>
      <c r="F607" s="187"/>
      <c r="G607" s="39"/>
      <c r="H607" s="157" t="s">
        <v>14</v>
      </c>
      <c r="I607" s="133"/>
      <c r="J607" s="133"/>
      <c r="K607" s="134"/>
      <c r="L607" s="483">
        <v>0</v>
      </c>
      <c r="M607" s="80">
        <v>0</v>
      </c>
      <c r="N607" s="80">
        <v>0</v>
      </c>
      <c r="O607" s="80">
        <f t="shared" si="369"/>
        <v>0</v>
      </c>
      <c r="P607" s="80">
        <f t="shared" si="370"/>
        <v>0</v>
      </c>
      <c r="Q607" s="80">
        <v>0</v>
      </c>
      <c r="R607" s="80">
        <v>0</v>
      </c>
      <c r="S607" s="80">
        <v>0</v>
      </c>
      <c r="T607" s="80">
        <f t="shared" si="372"/>
        <v>0</v>
      </c>
      <c r="U607" s="80">
        <f t="shared" si="373"/>
        <v>0</v>
      </c>
    </row>
    <row r="608" spans="1:21" ht="18.75" hidden="1" x14ac:dyDescent="0.25">
      <c r="A608" s="126"/>
      <c r="B608" s="156"/>
      <c r="C608" s="156"/>
      <c r="D608" s="187"/>
      <c r="E608" s="442" t="s">
        <v>21</v>
      </c>
      <c r="F608" s="187"/>
      <c r="G608" s="39"/>
      <c r="H608" s="387" t="s">
        <v>14</v>
      </c>
      <c r="I608" s="133"/>
      <c r="J608" s="133"/>
      <c r="K608" s="134"/>
      <c r="L608" s="481">
        <v>0</v>
      </c>
      <c r="M608" s="230">
        <v>0</v>
      </c>
      <c r="N608" s="230">
        <v>0</v>
      </c>
      <c r="O608" s="230">
        <f t="shared" si="369"/>
        <v>0</v>
      </c>
      <c r="P608" s="230">
        <f t="shared" si="370"/>
        <v>0</v>
      </c>
      <c r="Q608" s="230">
        <v>0</v>
      </c>
      <c r="R608" s="230">
        <v>0</v>
      </c>
      <c r="S608" s="230">
        <v>0</v>
      </c>
      <c r="T608" s="230">
        <f t="shared" si="372"/>
        <v>0</v>
      </c>
      <c r="U608" s="230">
        <f t="shared" si="373"/>
        <v>0</v>
      </c>
    </row>
    <row r="609" spans="1:21" ht="19.5" hidden="1" x14ac:dyDescent="0.3">
      <c r="A609" s="136"/>
      <c r="B609" s="137"/>
      <c r="C609" s="178" t="s">
        <v>18</v>
      </c>
      <c r="D609" s="552" t="s">
        <v>38</v>
      </c>
      <c r="E609" s="139"/>
      <c r="F609" s="139"/>
      <c r="G609" s="140"/>
      <c r="H609" s="179"/>
      <c r="I609" s="133"/>
      <c r="J609" s="133"/>
      <c r="K609" s="134"/>
      <c r="L609" s="484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1:21" ht="18.75" hidden="1" x14ac:dyDescent="0.25">
      <c r="A610" s="136"/>
      <c r="B610" s="137"/>
      <c r="C610" s="137"/>
      <c r="D610" s="389" t="s">
        <v>216</v>
      </c>
      <c r="E610" s="167"/>
      <c r="F610" s="167"/>
      <c r="G610" s="141"/>
      <c r="H610" s="157" t="s">
        <v>99</v>
      </c>
      <c r="I610" s="41"/>
      <c r="J610" s="41"/>
      <c r="K610" s="134"/>
      <c r="L610" s="484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1:21" ht="19.5" hidden="1" x14ac:dyDescent="0.3">
      <c r="A611" s="136"/>
      <c r="B611" s="137"/>
      <c r="C611" s="137"/>
      <c r="D611" s="389" t="s">
        <v>217</v>
      </c>
      <c r="E611" s="167"/>
      <c r="F611" s="167"/>
      <c r="G611" s="141"/>
      <c r="H611" s="384" t="s">
        <v>35</v>
      </c>
      <c r="I611" s="41"/>
      <c r="J611" s="41"/>
      <c r="K611" s="134"/>
      <c r="L611" s="484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1:21" ht="18.75" hidden="1" x14ac:dyDescent="0.25">
      <c r="A612" s="136"/>
      <c r="B612" s="137"/>
      <c r="C612" s="137"/>
      <c r="D612" s="137"/>
      <c r="E612" s="389" t="s">
        <v>218</v>
      </c>
      <c r="F612" s="167"/>
      <c r="G612" s="141"/>
      <c r="H612" s="387" t="s">
        <v>35</v>
      </c>
      <c r="I612" s="41"/>
      <c r="J612" s="41"/>
      <c r="K612" s="134"/>
      <c r="L612" s="484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1:21" ht="19.5" hidden="1" thickBot="1" x14ac:dyDescent="0.3">
      <c r="A613" s="390"/>
      <c r="B613" s="391"/>
      <c r="C613" s="391"/>
      <c r="D613" s="391"/>
      <c r="E613" s="392" t="s">
        <v>219</v>
      </c>
      <c r="F613" s="393"/>
      <c r="G613" s="394"/>
      <c r="H613" s="395" t="s">
        <v>35</v>
      </c>
      <c r="I613" s="396"/>
      <c r="J613" s="396"/>
      <c r="K613" s="397"/>
      <c r="L613" s="688"/>
      <c r="M613" s="398"/>
      <c r="N613" s="398"/>
      <c r="O613" s="398"/>
      <c r="P613" s="398"/>
      <c r="Q613" s="398"/>
      <c r="R613" s="398"/>
      <c r="S613" s="398"/>
      <c r="T613" s="398"/>
      <c r="U613" s="398"/>
    </row>
    <row r="614" spans="1:21" ht="19.5" hidden="1" x14ac:dyDescent="0.3">
      <c r="A614" s="399" t="s">
        <v>220</v>
      </c>
      <c r="B614" s="400"/>
      <c r="C614" s="400"/>
      <c r="D614" s="401"/>
      <c r="E614" s="401"/>
      <c r="F614" s="401"/>
      <c r="G614" s="402"/>
      <c r="H614" s="403"/>
      <c r="I614" s="404"/>
      <c r="J614" s="404"/>
      <c r="K614" s="405"/>
      <c r="L614" s="689"/>
      <c r="M614" s="405"/>
      <c r="N614" s="405"/>
      <c r="O614" s="405"/>
      <c r="P614" s="405"/>
      <c r="Q614" s="405"/>
      <c r="R614" s="405"/>
      <c r="S614" s="405"/>
      <c r="T614" s="405"/>
      <c r="U614" s="405"/>
    </row>
    <row r="615" spans="1:21" ht="19.5" x14ac:dyDescent="0.3">
      <c r="A615" s="406"/>
      <c r="B615" s="407" t="s">
        <v>221</v>
      </c>
      <c r="C615" s="406"/>
      <c r="D615" s="408"/>
      <c r="E615" s="408"/>
      <c r="F615" s="408"/>
      <c r="G615" s="409"/>
      <c r="H615" s="410"/>
      <c r="I615" s="411"/>
      <c r="J615" s="411"/>
      <c r="K615" s="412"/>
      <c r="L615" s="690"/>
      <c r="M615" s="412"/>
      <c r="N615" s="412"/>
      <c r="O615" s="412"/>
      <c r="P615" s="412"/>
      <c r="Q615" s="412"/>
      <c r="R615" s="412"/>
      <c r="S615" s="412"/>
      <c r="T615" s="412"/>
      <c r="U615" s="412"/>
    </row>
    <row r="616" spans="1:21" ht="19.5" x14ac:dyDescent="0.3">
      <c r="A616" s="413"/>
      <c r="B616" s="414" t="s">
        <v>222</v>
      </c>
      <c r="C616" s="413"/>
      <c r="D616" s="415"/>
      <c r="E616" s="415"/>
      <c r="F616" s="415"/>
      <c r="G616" s="416"/>
      <c r="H616" s="417" t="s">
        <v>46</v>
      </c>
      <c r="I616" s="691">
        <f t="shared" ref="I616:J616" ca="1" si="380">I627</f>
        <v>0</v>
      </c>
      <c r="J616" s="691">
        <f t="shared" si="380"/>
        <v>0</v>
      </c>
      <c r="K616" s="692">
        <f ca="1">IF(I616&gt;0,J616*100/I616,0)</f>
        <v>0</v>
      </c>
      <c r="L616" s="693"/>
      <c r="M616" s="420"/>
      <c r="N616" s="420"/>
      <c r="O616" s="420"/>
      <c r="P616" s="420"/>
      <c r="Q616" s="420"/>
      <c r="R616" s="420"/>
      <c r="S616" s="420"/>
      <c r="T616" s="420"/>
      <c r="U616" s="420"/>
    </row>
    <row r="617" spans="1:21" ht="19.5" x14ac:dyDescent="0.3">
      <c r="A617" s="126"/>
      <c r="B617" s="156"/>
      <c r="C617" s="178" t="s">
        <v>18</v>
      </c>
      <c r="D617" s="830" t="s">
        <v>19</v>
      </c>
      <c r="E617" s="812"/>
      <c r="F617" s="812"/>
      <c r="G617" s="813"/>
      <c r="H617" s="227" t="s">
        <v>14</v>
      </c>
      <c r="I617" s="41"/>
      <c r="J617" s="41"/>
      <c r="K617" s="42"/>
      <c r="L617" s="514">
        <f t="shared" ref="L617:N617" si="381">L618+L619</f>
        <v>0</v>
      </c>
      <c r="M617" s="515">
        <f t="shared" si="381"/>
        <v>0</v>
      </c>
      <c r="N617" s="515">
        <f t="shared" si="381"/>
        <v>0</v>
      </c>
      <c r="O617" s="515">
        <f t="shared" ref="O617:O625" si="382">IF(L617&gt;0,N617*100/L617,0)</f>
        <v>0</v>
      </c>
      <c r="P617" s="515">
        <f t="shared" ref="P617:P625" si="383">IF(M617&gt;0,N617*100/M617,0)</f>
        <v>0</v>
      </c>
      <c r="Q617" s="515">
        <f t="shared" ref="Q617:S617" ca="1" si="384">Q618+Q619</f>
        <v>1300</v>
      </c>
      <c r="R617" s="515">
        <f t="shared" ca="1" si="384"/>
        <v>1300</v>
      </c>
      <c r="S617" s="515">
        <f t="shared" ca="1" si="384"/>
        <v>0</v>
      </c>
      <c r="T617" s="515">
        <f t="shared" ref="T617:T625" ca="1" si="385">IF(Q617&gt;0,S617*100/Q617,0)</f>
        <v>0</v>
      </c>
      <c r="U617" s="515">
        <f t="shared" ref="U617:U625" ca="1" si="386">IF(R617&gt;0,S617*100/R617,0)</f>
        <v>0</v>
      </c>
    </row>
    <row r="618" spans="1:21" ht="18.75" hidden="1" x14ac:dyDescent="0.25">
      <c r="A618" s="126"/>
      <c r="B618" s="156"/>
      <c r="C618" s="156"/>
      <c r="D618" s="167"/>
      <c r="E618" s="154" t="s">
        <v>158</v>
      </c>
      <c r="F618" s="187"/>
      <c r="G618" s="39"/>
      <c r="H618" s="157" t="s">
        <v>14</v>
      </c>
      <c r="I618" s="41"/>
      <c r="J618" s="41"/>
      <c r="K618" s="42"/>
      <c r="L618" s="483">
        <f t="shared" ref="L618:N619" si="387">L621+L624</f>
        <v>0</v>
      </c>
      <c r="M618" s="80">
        <f t="shared" si="387"/>
        <v>0</v>
      </c>
      <c r="N618" s="80">
        <f t="shared" si="387"/>
        <v>0</v>
      </c>
      <c r="O618" s="80">
        <f t="shared" si="382"/>
        <v>0</v>
      </c>
      <c r="P618" s="80">
        <f t="shared" si="383"/>
        <v>0</v>
      </c>
      <c r="Q618" s="80">
        <f t="shared" ref="Q618:S619" si="388">Q621+Q624</f>
        <v>0</v>
      </c>
      <c r="R618" s="80">
        <f t="shared" si="388"/>
        <v>0</v>
      </c>
      <c r="S618" s="80">
        <f t="shared" si="388"/>
        <v>0</v>
      </c>
      <c r="T618" s="80">
        <f t="shared" si="385"/>
        <v>0</v>
      </c>
      <c r="U618" s="80">
        <f t="shared" si="386"/>
        <v>0</v>
      </c>
    </row>
    <row r="619" spans="1:21" ht="18.75" hidden="1" x14ac:dyDescent="0.25">
      <c r="A619" s="126"/>
      <c r="B619" s="156"/>
      <c r="C619" s="156"/>
      <c r="D619" s="167"/>
      <c r="E619" s="254" t="s">
        <v>159</v>
      </c>
      <c r="F619" s="187"/>
      <c r="G619" s="39"/>
      <c r="H619" s="132" t="s">
        <v>14</v>
      </c>
      <c r="I619" s="41"/>
      <c r="J619" s="41"/>
      <c r="K619" s="42"/>
      <c r="L619" s="481">
        <f t="shared" si="387"/>
        <v>0</v>
      </c>
      <c r="M619" s="230">
        <f t="shared" si="387"/>
        <v>0</v>
      </c>
      <c r="N619" s="230">
        <f t="shared" si="387"/>
        <v>0</v>
      </c>
      <c r="O619" s="230">
        <f t="shared" si="382"/>
        <v>0</v>
      </c>
      <c r="P619" s="230">
        <f t="shared" si="383"/>
        <v>0</v>
      </c>
      <c r="Q619" s="230">
        <f t="shared" ca="1" si="388"/>
        <v>1300</v>
      </c>
      <c r="R619" s="230">
        <f t="shared" ca="1" si="388"/>
        <v>1300</v>
      </c>
      <c r="S619" s="230">
        <f t="shared" ca="1" si="388"/>
        <v>0</v>
      </c>
      <c r="T619" s="230">
        <f t="shared" ca="1" si="385"/>
        <v>0</v>
      </c>
      <c r="U619" s="230">
        <f t="shared" ca="1" si="386"/>
        <v>0</v>
      </c>
    </row>
    <row r="620" spans="1:21" ht="18.75" x14ac:dyDescent="0.25">
      <c r="A620" s="126"/>
      <c r="B620" s="156"/>
      <c r="C620" s="156"/>
      <c r="D620" s="38" t="s">
        <v>22</v>
      </c>
      <c r="E620" s="187"/>
      <c r="F620" s="187"/>
      <c r="G620" s="39"/>
      <c r="H620" s="132" t="s">
        <v>14</v>
      </c>
      <c r="I620" s="133"/>
      <c r="J620" s="133"/>
      <c r="K620" s="134"/>
      <c r="L620" s="481">
        <f t="shared" ref="L620:N620" si="389">L621+L622</f>
        <v>0</v>
      </c>
      <c r="M620" s="230">
        <f t="shared" si="389"/>
        <v>0</v>
      </c>
      <c r="N620" s="230">
        <f t="shared" si="389"/>
        <v>0</v>
      </c>
      <c r="O620" s="230">
        <f t="shared" si="382"/>
        <v>0</v>
      </c>
      <c r="P620" s="230">
        <f t="shared" si="383"/>
        <v>0</v>
      </c>
      <c r="Q620" s="230">
        <f t="shared" ref="Q620:S620" ca="1" si="390">Q621+Q622</f>
        <v>1300</v>
      </c>
      <c r="R620" s="230">
        <f t="shared" ca="1" si="390"/>
        <v>1300</v>
      </c>
      <c r="S620" s="230">
        <f t="shared" ca="1" si="390"/>
        <v>0</v>
      </c>
      <c r="T620" s="230">
        <f t="shared" ca="1" si="385"/>
        <v>0</v>
      </c>
      <c r="U620" s="230">
        <f t="shared" ca="1" si="386"/>
        <v>0</v>
      </c>
    </row>
    <row r="621" spans="1:21" ht="18.75" hidden="1" x14ac:dyDescent="0.25">
      <c r="A621" s="126"/>
      <c r="B621" s="156"/>
      <c r="C621" s="156"/>
      <c r="D621" s="167"/>
      <c r="E621" s="154" t="s">
        <v>158</v>
      </c>
      <c r="F621" s="187"/>
      <c r="G621" s="39"/>
      <c r="H621" s="157" t="s">
        <v>14</v>
      </c>
      <c r="I621" s="41"/>
      <c r="J621" s="41"/>
      <c r="K621" s="42"/>
      <c r="L621" s="483">
        <v>0</v>
      </c>
      <c r="M621" s="80">
        <v>0</v>
      </c>
      <c r="N621" s="80">
        <v>0</v>
      </c>
      <c r="O621" s="80">
        <f t="shared" si="382"/>
        <v>0</v>
      </c>
      <c r="P621" s="80">
        <f t="shared" si="383"/>
        <v>0</v>
      </c>
      <c r="Q621" s="80">
        <v>0</v>
      </c>
      <c r="R621" s="80">
        <v>0</v>
      </c>
      <c r="S621" s="80">
        <v>0</v>
      </c>
      <c r="T621" s="80">
        <f t="shared" si="385"/>
        <v>0</v>
      </c>
      <c r="U621" s="80">
        <f t="shared" si="386"/>
        <v>0</v>
      </c>
    </row>
    <row r="622" spans="1:21" ht="18.75" hidden="1" x14ac:dyDescent="0.25">
      <c r="A622" s="126"/>
      <c r="B622" s="156"/>
      <c r="C622" s="156"/>
      <c r="D622" s="167"/>
      <c r="E622" s="254" t="s">
        <v>159</v>
      </c>
      <c r="F622" s="187"/>
      <c r="G622" s="39"/>
      <c r="H622" s="132" t="s">
        <v>14</v>
      </c>
      <c r="I622" s="41"/>
      <c r="J622" s="41"/>
      <c r="K622" s="42"/>
      <c r="L622" s="481">
        <v>0</v>
      </c>
      <c r="M622" s="230">
        <v>0</v>
      </c>
      <c r="N622" s="230">
        <v>0</v>
      </c>
      <c r="O622" s="230">
        <f t="shared" si="382"/>
        <v>0</v>
      </c>
      <c r="P622" s="230">
        <f t="shared" si="383"/>
        <v>0</v>
      </c>
      <c r="Q622" s="230">
        <f ca="1">IFERROR(__xludf.DUMMYFUNCTION("IMPORTRANGE(""https://docs.google.com/spreadsheets/d/1ItG2mGa2ceCfYo0BwxsXqNm01IGEUdYcSSLTEv9YCik/edit?usp=sharing"",""เบิกจ่ายกองทุน!F21"")"),1300)</f>
        <v>1300</v>
      </c>
      <c r="R622" s="230">
        <f ca="1">IFERROR(__xludf.DUMMYFUNCTION("IMPORTRANGE(""https://docs.google.com/spreadsheets/d/1ItG2mGa2ceCfYo0BwxsXqNm01IGEUdYcSSLTEv9YCik/edit?usp=sharing"",""เบิกจ่ายกองทุน!G21"")"),1300)</f>
        <v>1300</v>
      </c>
      <c r="S622" s="230">
        <f ca="1">IFERROR(__xludf.DUMMYFUNCTION("IMPORTRANGE(""https://docs.google.com/spreadsheets/d/1ItG2mGa2ceCfYo0BwxsXqNm01IGEUdYcSSLTEv9YCik/edit?usp=sharing"",""เบิกจ่ายกองทุน!H21"")"),0)</f>
        <v>0</v>
      </c>
      <c r="T622" s="230">
        <f t="shared" ca="1" si="385"/>
        <v>0</v>
      </c>
      <c r="U622" s="230">
        <f t="shared" ca="1" si="386"/>
        <v>0</v>
      </c>
    </row>
    <row r="623" spans="1:21" ht="18.75" x14ac:dyDescent="0.25">
      <c r="A623" s="126"/>
      <c r="B623" s="156"/>
      <c r="C623" s="156"/>
      <c r="D623" s="38" t="s">
        <v>23</v>
      </c>
      <c r="E623" s="187"/>
      <c r="F623" s="187"/>
      <c r="G623" s="39"/>
      <c r="H623" s="135" t="s">
        <v>14</v>
      </c>
      <c r="I623" s="133"/>
      <c r="J623" s="133"/>
      <c r="K623" s="134"/>
      <c r="L623" s="481">
        <f t="shared" ref="L623:N623" si="391">L624+L625</f>
        <v>0</v>
      </c>
      <c r="M623" s="230">
        <f t="shared" si="391"/>
        <v>0</v>
      </c>
      <c r="N623" s="230">
        <f t="shared" si="391"/>
        <v>0</v>
      </c>
      <c r="O623" s="230">
        <f t="shared" si="382"/>
        <v>0</v>
      </c>
      <c r="P623" s="230">
        <f t="shared" si="383"/>
        <v>0</v>
      </c>
      <c r="Q623" s="230">
        <f t="shared" ref="Q623:S623" si="392">Q624+Q625</f>
        <v>0</v>
      </c>
      <c r="R623" s="230">
        <f t="shared" si="392"/>
        <v>0</v>
      </c>
      <c r="S623" s="230">
        <f t="shared" si="392"/>
        <v>0</v>
      </c>
      <c r="T623" s="230">
        <f t="shared" si="385"/>
        <v>0</v>
      </c>
      <c r="U623" s="230">
        <f t="shared" si="386"/>
        <v>0</v>
      </c>
    </row>
    <row r="624" spans="1:21" ht="18.75" hidden="1" x14ac:dyDescent="0.25">
      <c r="A624" s="126"/>
      <c r="B624" s="156"/>
      <c r="C624" s="156"/>
      <c r="D624" s="156"/>
      <c r="E624" s="154" t="s">
        <v>20</v>
      </c>
      <c r="F624" s="187"/>
      <c r="G624" s="39"/>
      <c r="H624" s="157" t="s">
        <v>14</v>
      </c>
      <c r="I624" s="133"/>
      <c r="J624" s="133"/>
      <c r="K624" s="134"/>
      <c r="L624" s="483">
        <v>0</v>
      </c>
      <c r="M624" s="80">
        <v>0</v>
      </c>
      <c r="N624" s="80">
        <v>0</v>
      </c>
      <c r="O624" s="80">
        <f t="shared" si="382"/>
        <v>0</v>
      </c>
      <c r="P624" s="80">
        <f t="shared" si="383"/>
        <v>0</v>
      </c>
      <c r="Q624" s="80">
        <v>0</v>
      </c>
      <c r="R624" s="80">
        <v>0</v>
      </c>
      <c r="S624" s="80">
        <v>0</v>
      </c>
      <c r="T624" s="80">
        <f t="shared" si="385"/>
        <v>0</v>
      </c>
      <c r="U624" s="80">
        <f t="shared" si="386"/>
        <v>0</v>
      </c>
    </row>
    <row r="625" spans="1:21" ht="18.75" hidden="1" x14ac:dyDescent="0.25">
      <c r="A625" s="126"/>
      <c r="B625" s="156"/>
      <c r="C625" s="156"/>
      <c r="D625" s="156"/>
      <c r="E625" s="254" t="s">
        <v>21</v>
      </c>
      <c r="F625" s="187"/>
      <c r="G625" s="39"/>
      <c r="H625" s="135" t="s">
        <v>14</v>
      </c>
      <c r="I625" s="133"/>
      <c r="J625" s="133"/>
      <c r="K625" s="134"/>
      <c r="L625" s="481">
        <v>0</v>
      </c>
      <c r="M625" s="230">
        <v>0</v>
      </c>
      <c r="N625" s="230">
        <v>0</v>
      </c>
      <c r="O625" s="230">
        <f t="shared" si="382"/>
        <v>0</v>
      </c>
      <c r="P625" s="230">
        <f t="shared" si="383"/>
        <v>0</v>
      </c>
      <c r="Q625" s="230">
        <v>0</v>
      </c>
      <c r="R625" s="230">
        <v>0</v>
      </c>
      <c r="S625" s="230">
        <v>0</v>
      </c>
      <c r="T625" s="230">
        <f t="shared" si="385"/>
        <v>0</v>
      </c>
      <c r="U625" s="230">
        <f t="shared" si="386"/>
        <v>0</v>
      </c>
    </row>
    <row r="626" spans="1:21" ht="19.5" x14ac:dyDescent="0.3">
      <c r="A626" s="136"/>
      <c r="B626" s="137"/>
      <c r="C626" s="178" t="s">
        <v>18</v>
      </c>
      <c r="D626" s="694" t="s">
        <v>38</v>
      </c>
      <c r="E626" s="139"/>
      <c r="F626" s="139"/>
      <c r="G626" s="140"/>
      <c r="H626" s="179"/>
      <c r="I626" s="133"/>
      <c r="J626" s="133"/>
      <c r="K626" s="134"/>
      <c r="L626" s="517"/>
      <c r="M626" s="134"/>
      <c r="N626" s="134"/>
      <c r="O626" s="134"/>
      <c r="P626" s="134"/>
      <c r="Q626" s="134"/>
      <c r="R626" s="134"/>
      <c r="S626" s="134"/>
      <c r="T626" s="134"/>
      <c r="U626" s="134"/>
    </row>
    <row r="627" spans="1:21" ht="19.5" x14ac:dyDescent="0.3">
      <c r="A627" s="136"/>
      <c r="B627" s="137"/>
      <c r="C627" s="137"/>
      <c r="D627" s="422" t="s">
        <v>223</v>
      </c>
      <c r="E627" s="167"/>
      <c r="F627" s="167"/>
      <c r="G627" s="141"/>
      <c r="H627" s="423" t="s">
        <v>46</v>
      </c>
      <c r="I627" s="340">
        <f ca="1">IFERROR(__xludf.DUMMYFUNCTION("IMPORTRANGE(""https://docs.google.com/spreadsheets/d/1eHaY18a8A9IcSdp1K8H6x8fbOy06t2VsZHhMHf-1x7Y/edit?usp=sharing"",""แผน!ID21"")"),0)</f>
        <v>0</v>
      </c>
      <c r="J627" s="340">
        <f>J633</f>
        <v>0</v>
      </c>
      <c r="K627" s="515">
        <f ca="1">IF(I627&gt;0,J627*100/I627,0)</f>
        <v>0</v>
      </c>
      <c r="L627" s="517"/>
      <c r="M627" s="134"/>
      <c r="N627" s="134"/>
      <c r="O627" s="134"/>
      <c r="P627" s="134"/>
      <c r="Q627" s="134"/>
      <c r="R627" s="134"/>
      <c r="S627" s="134"/>
      <c r="T627" s="134"/>
      <c r="U627" s="134"/>
    </row>
    <row r="628" spans="1:21" ht="18.75" x14ac:dyDescent="0.25">
      <c r="A628" s="136"/>
      <c r="B628" s="137"/>
      <c r="C628" s="137"/>
      <c r="D628" s="137"/>
      <c r="E628" s="164" t="s">
        <v>224</v>
      </c>
      <c r="F628" s="167"/>
      <c r="G628" s="141"/>
      <c r="H628" s="135" t="s">
        <v>61</v>
      </c>
      <c r="I628" s="189">
        <f ca="1">IFERROR(__xludf.DUMMYFUNCTION("IMPORTRANGE(""https://docs.google.com/spreadsheets/d/1eHaY18a8A9IcSdp1K8H6x8fbOy06t2VsZHhMHf-1x7Y/edit?usp=sharing"",""แผน!IC21"")"),0)</f>
        <v>0</v>
      </c>
      <c r="J628" s="520">
        <v>0</v>
      </c>
      <c r="K628" s="230">
        <f t="shared" ref="K628:K629" ca="1" si="393">IF(I628&gt;0,(J628*100)/I628,0)</f>
        <v>0</v>
      </c>
      <c r="L628" s="517"/>
      <c r="M628" s="134"/>
      <c r="N628" s="134"/>
      <c r="O628" s="134"/>
      <c r="P628" s="134"/>
      <c r="Q628" s="134"/>
      <c r="R628" s="134"/>
      <c r="S628" s="134"/>
      <c r="T628" s="134"/>
      <c r="U628" s="134"/>
    </row>
    <row r="629" spans="1:21" ht="18.75" x14ac:dyDescent="0.25">
      <c r="A629" s="136"/>
      <c r="B629" s="137"/>
      <c r="C629" s="137"/>
      <c r="D629" s="137"/>
      <c r="E629" s="164" t="s">
        <v>225</v>
      </c>
      <c r="F629" s="167"/>
      <c r="G629" s="141"/>
      <c r="H629" s="135" t="s">
        <v>61</v>
      </c>
      <c r="I629" s="189">
        <f ca="1">IFERROR(__xludf.DUMMYFUNCTION("IMPORTRANGE(""https://docs.google.com/spreadsheets/d/1eHaY18a8A9IcSdp1K8H6x8fbOy06t2VsZHhMHf-1x7Y/edit?usp=sharing"",""แผน!IC21"")"),0)</f>
        <v>0</v>
      </c>
      <c r="J629" s="520">
        <v>0</v>
      </c>
      <c r="K629" s="230">
        <f t="shared" ca="1" si="393"/>
        <v>0</v>
      </c>
      <c r="L629" s="517"/>
      <c r="M629" s="134"/>
      <c r="N629" s="134"/>
      <c r="O629" s="134"/>
      <c r="P629" s="134"/>
      <c r="Q629" s="134"/>
      <c r="R629" s="134"/>
      <c r="S629" s="134"/>
      <c r="T629" s="134"/>
      <c r="U629" s="134"/>
    </row>
    <row r="630" spans="1:21" ht="18.75" x14ac:dyDescent="0.25">
      <c r="A630" s="136"/>
      <c r="B630" s="137"/>
      <c r="C630" s="137"/>
      <c r="D630" s="137"/>
      <c r="E630" s="164" t="s">
        <v>226</v>
      </c>
      <c r="F630" s="167"/>
      <c r="G630" s="141"/>
      <c r="H630" s="135" t="s">
        <v>46</v>
      </c>
      <c r="I630" s="41"/>
      <c r="J630" s="520">
        <v>0</v>
      </c>
      <c r="K630" s="230">
        <f t="shared" ref="K630:K632" ca="1" si="394">IF(I$627&gt;0,J630*100/I$627,0)</f>
        <v>0</v>
      </c>
      <c r="L630" s="517"/>
      <c r="M630" s="134"/>
      <c r="N630" s="134"/>
      <c r="O630" s="134"/>
      <c r="P630" s="134"/>
      <c r="Q630" s="134"/>
      <c r="R630" s="134"/>
      <c r="S630" s="134"/>
      <c r="T630" s="134"/>
      <c r="U630" s="134"/>
    </row>
    <row r="631" spans="1:21" ht="18.75" x14ac:dyDescent="0.25">
      <c r="A631" s="136"/>
      <c r="B631" s="137"/>
      <c r="C631" s="137"/>
      <c r="D631" s="137"/>
      <c r="E631" s="164" t="s">
        <v>227</v>
      </c>
      <c r="F631" s="167"/>
      <c r="G631" s="141"/>
      <c r="H631" s="135" t="s">
        <v>46</v>
      </c>
      <c r="I631" s="41"/>
      <c r="J631" s="520">
        <v>0</v>
      </c>
      <c r="K631" s="230">
        <f t="shared" ca="1" si="394"/>
        <v>0</v>
      </c>
      <c r="L631" s="517"/>
      <c r="M631" s="134"/>
      <c r="N631" s="134"/>
      <c r="O631" s="134"/>
      <c r="P631" s="134"/>
      <c r="Q631" s="134"/>
      <c r="R631" s="134"/>
      <c r="S631" s="134"/>
      <c r="T631" s="134"/>
      <c r="U631" s="134"/>
    </row>
    <row r="632" spans="1:21" ht="18.75" x14ac:dyDescent="0.25">
      <c r="A632" s="136"/>
      <c r="B632" s="137"/>
      <c r="C632" s="137"/>
      <c r="D632" s="137"/>
      <c r="E632" s="164" t="s">
        <v>228</v>
      </c>
      <c r="F632" s="167"/>
      <c r="G632" s="141"/>
      <c r="H632" s="135" t="s">
        <v>46</v>
      </c>
      <c r="I632" s="41"/>
      <c r="J632" s="520">
        <v>0</v>
      </c>
      <c r="K632" s="230">
        <f t="shared" ca="1" si="394"/>
        <v>0</v>
      </c>
      <c r="L632" s="517"/>
      <c r="M632" s="134"/>
      <c r="N632" s="134"/>
      <c r="O632" s="134"/>
      <c r="P632" s="134"/>
      <c r="Q632" s="134"/>
      <c r="R632" s="134"/>
      <c r="S632" s="134"/>
      <c r="T632" s="134"/>
      <c r="U632" s="134"/>
    </row>
    <row r="633" spans="1:21" ht="19.5" x14ac:dyDescent="0.3">
      <c r="A633" s="136"/>
      <c r="B633" s="137"/>
      <c r="C633" s="137"/>
      <c r="D633" s="137"/>
      <c r="E633" s="164" t="s">
        <v>229</v>
      </c>
      <c r="F633" s="167"/>
      <c r="G633" s="141"/>
      <c r="H633" s="135" t="s">
        <v>46</v>
      </c>
      <c r="I633" s="41"/>
      <c r="J633" s="340">
        <f>J634+J635</f>
        <v>0</v>
      </c>
      <c r="K633" s="515">
        <f ca="1">IF(I627&gt;0,J633*100/I627,0)</f>
        <v>0</v>
      </c>
      <c r="L633" s="517"/>
      <c r="M633" s="134"/>
      <c r="N633" s="134"/>
      <c r="O633" s="134"/>
      <c r="P633" s="134"/>
      <c r="Q633" s="134"/>
      <c r="R633" s="134"/>
      <c r="S633" s="134"/>
      <c r="T633" s="134"/>
      <c r="U633" s="134"/>
    </row>
    <row r="634" spans="1:21" ht="18.75" x14ac:dyDescent="0.25">
      <c r="A634" s="136"/>
      <c r="B634" s="137"/>
      <c r="C634" s="137"/>
      <c r="D634" s="137"/>
      <c r="E634" s="167"/>
      <c r="F634" s="164" t="s">
        <v>230</v>
      </c>
      <c r="G634" s="141"/>
      <c r="H634" s="135" t="s">
        <v>46</v>
      </c>
      <c r="I634" s="41"/>
      <c r="J634" s="520">
        <v>0</v>
      </c>
      <c r="K634" s="42"/>
      <c r="L634" s="517"/>
      <c r="M634" s="134"/>
      <c r="N634" s="134"/>
      <c r="O634" s="134"/>
      <c r="P634" s="134"/>
      <c r="Q634" s="134"/>
      <c r="R634" s="134"/>
      <c r="S634" s="134"/>
      <c r="T634" s="134"/>
      <c r="U634" s="134"/>
    </row>
    <row r="635" spans="1:21" ht="18.75" x14ac:dyDescent="0.25">
      <c r="A635" s="136"/>
      <c r="B635" s="137"/>
      <c r="C635" s="137"/>
      <c r="D635" s="137"/>
      <c r="E635" s="167"/>
      <c r="F635" s="164" t="s">
        <v>231</v>
      </c>
      <c r="G635" s="141"/>
      <c r="H635" s="135" t="s">
        <v>46</v>
      </c>
      <c r="I635" s="41"/>
      <c r="J635" s="520">
        <v>0</v>
      </c>
      <c r="K635" s="42"/>
      <c r="L635" s="517"/>
      <c r="M635" s="134"/>
      <c r="N635" s="134"/>
      <c r="O635" s="134"/>
      <c r="P635" s="134"/>
      <c r="Q635" s="134"/>
      <c r="R635" s="134"/>
      <c r="S635" s="134"/>
      <c r="T635" s="134"/>
      <c r="U635" s="134"/>
    </row>
    <row r="636" spans="1:21" ht="19.5" x14ac:dyDescent="0.3">
      <c r="A636" s="136"/>
      <c r="B636" s="137"/>
      <c r="C636" s="137"/>
      <c r="D636" s="422" t="s">
        <v>232</v>
      </c>
      <c r="E636" s="167"/>
      <c r="F636" s="167"/>
      <c r="G636" s="141"/>
      <c r="H636" s="135" t="s">
        <v>46</v>
      </c>
      <c r="I636" s="340">
        <f ca="1">IFERROR(__xludf.DUMMYFUNCTION("IMPORTRANGE(""https://docs.google.com/spreadsheets/d/1eHaY18a8A9IcSdp1K8H6x8fbOy06t2VsZHhMHf-1x7Y/edit?usp=sharing"",""แผน!IE21"")"),0)</f>
        <v>0</v>
      </c>
      <c r="J636" s="340">
        <f>J637</f>
        <v>0</v>
      </c>
      <c r="K636" s="515">
        <f ca="1">IF(I636&gt;0,J636*100/I636,0)</f>
        <v>0</v>
      </c>
      <c r="L636" s="517"/>
      <c r="M636" s="134"/>
      <c r="N636" s="134"/>
      <c r="O636" s="134"/>
      <c r="P636" s="134"/>
      <c r="Q636" s="134"/>
      <c r="R636" s="134"/>
      <c r="S636" s="134"/>
      <c r="T636" s="134"/>
      <c r="U636" s="134"/>
    </row>
    <row r="637" spans="1:21" ht="18.75" x14ac:dyDescent="0.25">
      <c r="A637" s="136"/>
      <c r="B637" s="137"/>
      <c r="C637" s="137"/>
      <c r="D637" s="137"/>
      <c r="E637" s="164" t="s">
        <v>233</v>
      </c>
      <c r="F637" s="167"/>
      <c r="G637" s="141"/>
      <c r="H637" s="135" t="s">
        <v>46</v>
      </c>
      <c r="I637" s="41"/>
      <c r="J637" s="189">
        <f>J638+J639</f>
        <v>0</v>
      </c>
      <c r="K637" s="42"/>
      <c r="L637" s="517"/>
      <c r="M637" s="134"/>
      <c r="N637" s="134"/>
      <c r="O637" s="134"/>
      <c r="P637" s="134"/>
      <c r="Q637" s="134"/>
      <c r="R637" s="134"/>
      <c r="S637" s="134"/>
      <c r="T637" s="134"/>
      <c r="U637" s="134"/>
    </row>
    <row r="638" spans="1:21" ht="18.75" x14ac:dyDescent="0.25">
      <c r="A638" s="136"/>
      <c r="B638" s="137"/>
      <c r="C638" s="137"/>
      <c r="D638" s="137"/>
      <c r="E638" s="167"/>
      <c r="F638" s="164" t="s">
        <v>230</v>
      </c>
      <c r="G638" s="141"/>
      <c r="H638" s="135" t="s">
        <v>46</v>
      </c>
      <c r="I638" s="41"/>
      <c r="J638" s="520">
        <v>0</v>
      </c>
      <c r="K638" s="42"/>
      <c r="L638" s="517"/>
      <c r="M638" s="134"/>
      <c r="N638" s="134"/>
      <c r="O638" s="134"/>
      <c r="P638" s="134"/>
      <c r="Q638" s="134"/>
      <c r="R638" s="134"/>
      <c r="S638" s="134"/>
      <c r="T638" s="134"/>
      <c r="U638" s="134"/>
    </row>
    <row r="639" spans="1:21" ht="18.75" x14ac:dyDescent="0.25">
      <c r="A639" s="136"/>
      <c r="B639" s="137"/>
      <c r="C639" s="137"/>
      <c r="D639" s="137"/>
      <c r="E639" s="167"/>
      <c r="F639" s="164" t="s">
        <v>231</v>
      </c>
      <c r="G639" s="141"/>
      <c r="H639" s="135" t="s">
        <v>46</v>
      </c>
      <c r="I639" s="41"/>
      <c r="J639" s="520">
        <v>0</v>
      </c>
      <c r="K639" s="42"/>
      <c r="L639" s="517"/>
      <c r="M639" s="134"/>
      <c r="N639" s="134"/>
      <c r="O639" s="134"/>
      <c r="P639" s="134"/>
      <c r="Q639" s="134"/>
      <c r="R639" s="134"/>
      <c r="S639" s="134"/>
      <c r="T639" s="134"/>
      <c r="U639" s="134"/>
    </row>
    <row r="640" spans="1:21" ht="18.75" x14ac:dyDescent="0.25">
      <c r="A640" s="136"/>
      <c r="B640" s="137"/>
      <c r="C640" s="137"/>
      <c r="D640" s="137"/>
      <c r="E640" s="164" t="s">
        <v>234</v>
      </c>
      <c r="F640" s="167"/>
      <c r="G640" s="141"/>
      <c r="H640" s="135" t="s">
        <v>46</v>
      </c>
      <c r="I640" s="41"/>
      <c r="J640" s="520">
        <v>0</v>
      </c>
      <c r="K640" s="42"/>
      <c r="L640" s="517"/>
      <c r="M640" s="134"/>
      <c r="N640" s="134"/>
      <c r="O640" s="134"/>
      <c r="P640" s="134"/>
      <c r="Q640" s="134"/>
      <c r="R640" s="134"/>
      <c r="S640" s="134"/>
      <c r="T640" s="134"/>
      <c r="U640" s="134"/>
    </row>
    <row r="641" spans="1:21" ht="18.75" x14ac:dyDescent="0.25">
      <c r="A641" s="136"/>
      <c r="B641" s="137"/>
      <c r="C641" s="137"/>
      <c r="D641" s="137"/>
      <c r="E641" s="167"/>
      <c r="F641" s="164" t="s">
        <v>235</v>
      </c>
      <c r="G641" s="141"/>
      <c r="H641" s="135" t="s">
        <v>46</v>
      </c>
      <c r="I641" s="41"/>
      <c r="J641" s="520">
        <v>0</v>
      </c>
      <c r="K641" s="42"/>
      <c r="L641" s="517"/>
      <c r="M641" s="134"/>
      <c r="N641" s="134"/>
      <c r="O641" s="134"/>
      <c r="P641" s="134"/>
      <c r="Q641" s="134"/>
      <c r="R641" s="134"/>
      <c r="S641" s="134"/>
      <c r="T641" s="134"/>
      <c r="U641" s="134"/>
    </row>
    <row r="642" spans="1:21" ht="19.5" x14ac:dyDescent="0.3">
      <c r="A642" s="413"/>
      <c r="B642" s="414" t="s">
        <v>236</v>
      </c>
      <c r="C642" s="413"/>
      <c r="D642" s="415"/>
      <c r="E642" s="415"/>
      <c r="F642" s="415"/>
      <c r="G642" s="416"/>
      <c r="H642" s="424"/>
      <c r="I642" s="425"/>
      <c r="J642" s="425"/>
      <c r="K642" s="420"/>
      <c r="L642" s="693"/>
      <c r="M642" s="420"/>
      <c r="N642" s="420"/>
      <c r="O642" s="420"/>
      <c r="P642" s="420"/>
      <c r="Q642" s="420"/>
      <c r="R642" s="420"/>
      <c r="S642" s="420"/>
      <c r="T642" s="420"/>
      <c r="U642" s="420"/>
    </row>
    <row r="643" spans="1:21" ht="19.5" x14ac:dyDescent="0.3">
      <c r="A643" s="126"/>
      <c r="B643" s="156"/>
      <c r="C643" s="426" t="s">
        <v>18</v>
      </c>
      <c r="D643" s="830" t="s">
        <v>19</v>
      </c>
      <c r="E643" s="812"/>
      <c r="F643" s="812"/>
      <c r="G643" s="813"/>
      <c r="H643" s="227" t="s">
        <v>14</v>
      </c>
      <c r="I643" s="41"/>
      <c r="J643" s="41"/>
      <c r="K643" s="42"/>
      <c r="L643" s="514">
        <f t="shared" ref="L643:N643" si="395">L644+L645</f>
        <v>0</v>
      </c>
      <c r="M643" s="515">
        <f t="shared" si="395"/>
        <v>0</v>
      </c>
      <c r="N643" s="515">
        <f t="shared" si="395"/>
        <v>0</v>
      </c>
      <c r="O643" s="515">
        <f t="shared" ref="O643:O651" si="396">IF(L643&gt;0,N643*100/L643,0)</f>
        <v>0</v>
      </c>
      <c r="P643" s="515">
        <f t="shared" ref="P643:P651" si="397">IF(M643&gt;0,N643*100/M643,0)</f>
        <v>0</v>
      </c>
      <c r="Q643" s="515">
        <f t="shared" ref="Q643:S643" ca="1" si="398">Q644+Q645</f>
        <v>8760</v>
      </c>
      <c r="R643" s="515">
        <f t="shared" ca="1" si="398"/>
        <v>8760</v>
      </c>
      <c r="S643" s="515">
        <f t="shared" ca="1" si="398"/>
        <v>0</v>
      </c>
      <c r="T643" s="515">
        <f t="shared" ref="T643:T651" ca="1" si="399">IF(Q643&gt;0,S643*100/Q643,0)</f>
        <v>0</v>
      </c>
      <c r="U643" s="515">
        <f t="shared" ref="U643:U651" ca="1" si="400">IF(R643&gt;0,S643*100/R643,0)</f>
        <v>0</v>
      </c>
    </row>
    <row r="644" spans="1:21" ht="18.75" hidden="1" x14ac:dyDescent="0.25">
      <c r="A644" s="126"/>
      <c r="B644" s="156"/>
      <c r="C644" s="156"/>
      <c r="D644" s="167"/>
      <c r="E644" s="154" t="s">
        <v>158</v>
      </c>
      <c r="F644" s="187"/>
      <c r="G644" s="39"/>
      <c r="H644" s="157" t="s">
        <v>14</v>
      </c>
      <c r="I644" s="41"/>
      <c r="J644" s="41"/>
      <c r="K644" s="42"/>
      <c r="L644" s="483">
        <f t="shared" ref="L644:N645" si="401">L647+L650</f>
        <v>0</v>
      </c>
      <c r="M644" s="80">
        <f t="shared" si="401"/>
        <v>0</v>
      </c>
      <c r="N644" s="80">
        <f t="shared" si="401"/>
        <v>0</v>
      </c>
      <c r="O644" s="80">
        <f t="shared" si="396"/>
        <v>0</v>
      </c>
      <c r="P644" s="80">
        <f t="shared" si="397"/>
        <v>0</v>
      </c>
      <c r="Q644" s="80">
        <f t="shared" ref="Q644:S645" si="402">Q647+Q650</f>
        <v>0</v>
      </c>
      <c r="R644" s="80">
        <f t="shared" si="402"/>
        <v>0</v>
      </c>
      <c r="S644" s="80">
        <f t="shared" si="402"/>
        <v>0</v>
      </c>
      <c r="T644" s="80">
        <f t="shared" si="399"/>
        <v>0</v>
      </c>
      <c r="U644" s="80">
        <f t="shared" si="400"/>
        <v>0</v>
      </c>
    </row>
    <row r="645" spans="1:21" ht="18.75" hidden="1" x14ac:dyDescent="0.25">
      <c r="A645" s="126"/>
      <c r="B645" s="156"/>
      <c r="C645" s="156"/>
      <c r="D645" s="167"/>
      <c r="E645" s="254" t="s">
        <v>159</v>
      </c>
      <c r="F645" s="187"/>
      <c r="G645" s="39"/>
      <c r="H645" s="132" t="s">
        <v>14</v>
      </c>
      <c r="I645" s="41"/>
      <c r="J645" s="41"/>
      <c r="K645" s="42"/>
      <c r="L645" s="481">
        <f t="shared" si="401"/>
        <v>0</v>
      </c>
      <c r="M645" s="230">
        <f t="shared" si="401"/>
        <v>0</v>
      </c>
      <c r="N645" s="230">
        <f t="shared" si="401"/>
        <v>0</v>
      </c>
      <c r="O645" s="230">
        <f t="shared" si="396"/>
        <v>0</v>
      </c>
      <c r="P645" s="230">
        <f t="shared" si="397"/>
        <v>0</v>
      </c>
      <c r="Q645" s="230">
        <f t="shared" ca="1" si="402"/>
        <v>8760</v>
      </c>
      <c r="R645" s="230">
        <f t="shared" ca="1" si="402"/>
        <v>8760</v>
      </c>
      <c r="S645" s="230">
        <f t="shared" ca="1" si="402"/>
        <v>0</v>
      </c>
      <c r="T645" s="230">
        <f t="shared" ca="1" si="399"/>
        <v>0</v>
      </c>
      <c r="U645" s="230">
        <f t="shared" ca="1" si="400"/>
        <v>0</v>
      </c>
    </row>
    <row r="646" spans="1:21" ht="18.75" x14ac:dyDescent="0.25">
      <c r="A646" s="126"/>
      <c r="B646" s="156"/>
      <c r="C646" s="156"/>
      <c r="D646" s="38" t="s">
        <v>22</v>
      </c>
      <c r="E646" s="187"/>
      <c r="F646" s="187"/>
      <c r="G646" s="39"/>
      <c r="H646" s="132" t="s">
        <v>14</v>
      </c>
      <c r="I646" s="133"/>
      <c r="J646" s="133"/>
      <c r="K646" s="134"/>
      <c r="L646" s="481">
        <f t="shared" ref="L646:N646" si="403">L647+L648</f>
        <v>0</v>
      </c>
      <c r="M646" s="230">
        <f t="shared" si="403"/>
        <v>0</v>
      </c>
      <c r="N646" s="230">
        <f t="shared" si="403"/>
        <v>0</v>
      </c>
      <c r="O646" s="230">
        <f t="shared" si="396"/>
        <v>0</v>
      </c>
      <c r="P646" s="230">
        <f t="shared" si="397"/>
        <v>0</v>
      </c>
      <c r="Q646" s="230">
        <f t="shared" ref="Q646:S646" ca="1" si="404">Q647+Q648</f>
        <v>8760</v>
      </c>
      <c r="R646" s="230">
        <f t="shared" ca="1" si="404"/>
        <v>8760</v>
      </c>
      <c r="S646" s="230">
        <f t="shared" ca="1" si="404"/>
        <v>0</v>
      </c>
      <c r="T646" s="230">
        <f t="shared" ca="1" si="399"/>
        <v>0</v>
      </c>
      <c r="U646" s="230">
        <f t="shared" ca="1" si="400"/>
        <v>0</v>
      </c>
    </row>
    <row r="647" spans="1:21" ht="18.75" hidden="1" x14ac:dyDescent="0.25">
      <c r="A647" s="126"/>
      <c r="B647" s="156"/>
      <c r="C647" s="156"/>
      <c r="D647" s="167"/>
      <c r="E647" s="154" t="s">
        <v>158</v>
      </c>
      <c r="F647" s="187"/>
      <c r="G647" s="39"/>
      <c r="H647" s="157" t="s">
        <v>14</v>
      </c>
      <c r="I647" s="41"/>
      <c r="J647" s="41"/>
      <c r="K647" s="42"/>
      <c r="L647" s="483">
        <v>0</v>
      </c>
      <c r="M647" s="80">
        <v>0</v>
      </c>
      <c r="N647" s="80">
        <v>0</v>
      </c>
      <c r="O647" s="80">
        <f t="shared" si="396"/>
        <v>0</v>
      </c>
      <c r="P647" s="80">
        <f t="shared" si="397"/>
        <v>0</v>
      </c>
      <c r="Q647" s="80">
        <v>0</v>
      </c>
      <c r="R647" s="80">
        <v>0</v>
      </c>
      <c r="S647" s="80">
        <v>0</v>
      </c>
      <c r="T647" s="80">
        <f t="shared" si="399"/>
        <v>0</v>
      </c>
      <c r="U647" s="80">
        <f t="shared" si="400"/>
        <v>0</v>
      </c>
    </row>
    <row r="648" spans="1:21" ht="18.75" hidden="1" x14ac:dyDescent="0.25">
      <c r="A648" s="126"/>
      <c r="B648" s="156"/>
      <c r="C648" s="156"/>
      <c r="D648" s="167"/>
      <c r="E648" s="254" t="s">
        <v>159</v>
      </c>
      <c r="F648" s="187"/>
      <c r="G648" s="39"/>
      <c r="H648" s="132" t="s">
        <v>14</v>
      </c>
      <c r="I648" s="41"/>
      <c r="J648" s="41"/>
      <c r="K648" s="42"/>
      <c r="L648" s="481">
        <v>0</v>
      </c>
      <c r="M648" s="230">
        <v>0</v>
      </c>
      <c r="N648" s="230">
        <v>0</v>
      </c>
      <c r="O648" s="230">
        <f t="shared" si="396"/>
        <v>0</v>
      </c>
      <c r="P648" s="230">
        <f t="shared" si="397"/>
        <v>0</v>
      </c>
      <c r="Q648" s="230">
        <f ca="1">IFERROR(__xludf.DUMMYFUNCTION("IMPORTRANGE(""https://docs.google.com/spreadsheets/d/1ItG2mGa2ceCfYo0BwxsXqNm01IGEUdYcSSLTEv9YCik/edit?usp=sharing"",""เบิกจ่ายกองทุน!I21"")"),8760)</f>
        <v>8760</v>
      </c>
      <c r="R648" s="230">
        <f ca="1">IFERROR(__xludf.DUMMYFUNCTION("IMPORTRANGE(""https://docs.google.com/spreadsheets/d/1ItG2mGa2ceCfYo0BwxsXqNm01IGEUdYcSSLTEv9YCik/edit?usp=sharing"",""เบิกจ่ายกองทุน!J21"")"),8760)</f>
        <v>8760</v>
      </c>
      <c r="S648" s="230">
        <f ca="1">IFERROR(__xludf.DUMMYFUNCTION("IMPORTRANGE(""https://docs.google.com/spreadsheets/d/1ItG2mGa2ceCfYo0BwxsXqNm01IGEUdYcSSLTEv9YCik/edit?usp=sharing"",""เบิกจ่ายกองทุน!K21"")"),0)</f>
        <v>0</v>
      </c>
      <c r="T648" s="230">
        <f t="shared" ca="1" si="399"/>
        <v>0</v>
      </c>
      <c r="U648" s="230">
        <f t="shared" ca="1" si="400"/>
        <v>0</v>
      </c>
    </row>
    <row r="649" spans="1:21" ht="18.75" x14ac:dyDescent="0.25">
      <c r="A649" s="126"/>
      <c r="B649" s="156"/>
      <c r="C649" s="156"/>
      <c r="D649" s="38" t="s">
        <v>23</v>
      </c>
      <c r="E649" s="187"/>
      <c r="F649" s="187"/>
      <c r="G649" s="39"/>
      <c r="H649" s="135" t="s">
        <v>14</v>
      </c>
      <c r="I649" s="133"/>
      <c r="J649" s="133"/>
      <c r="K649" s="134"/>
      <c r="L649" s="481">
        <f t="shared" ref="L649:N649" si="405">L650+L651</f>
        <v>0</v>
      </c>
      <c r="M649" s="230">
        <f t="shared" si="405"/>
        <v>0</v>
      </c>
      <c r="N649" s="230">
        <f t="shared" si="405"/>
        <v>0</v>
      </c>
      <c r="O649" s="230">
        <f t="shared" si="396"/>
        <v>0</v>
      </c>
      <c r="P649" s="230">
        <f t="shared" si="397"/>
        <v>0</v>
      </c>
      <c r="Q649" s="230">
        <f t="shared" ref="Q649:S649" si="406">Q650+Q651</f>
        <v>0</v>
      </c>
      <c r="R649" s="230">
        <f t="shared" si="406"/>
        <v>0</v>
      </c>
      <c r="S649" s="230">
        <f t="shared" si="406"/>
        <v>0</v>
      </c>
      <c r="T649" s="230">
        <f t="shared" si="399"/>
        <v>0</v>
      </c>
      <c r="U649" s="230">
        <f t="shared" si="400"/>
        <v>0</v>
      </c>
    </row>
    <row r="650" spans="1:21" ht="18.75" hidden="1" x14ac:dyDescent="0.25">
      <c r="A650" s="126"/>
      <c r="B650" s="156"/>
      <c r="C650" s="156"/>
      <c r="D650" s="187"/>
      <c r="E650" s="154" t="s">
        <v>20</v>
      </c>
      <c r="F650" s="187"/>
      <c r="G650" s="39"/>
      <c r="H650" s="157" t="s">
        <v>14</v>
      </c>
      <c r="I650" s="133"/>
      <c r="J650" s="133"/>
      <c r="K650" s="134"/>
      <c r="L650" s="483">
        <v>0</v>
      </c>
      <c r="M650" s="80">
        <v>0</v>
      </c>
      <c r="N650" s="80">
        <v>0</v>
      </c>
      <c r="O650" s="80">
        <f t="shared" si="396"/>
        <v>0</v>
      </c>
      <c r="P650" s="80">
        <f t="shared" si="397"/>
        <v>0</v>
      </c>
      <c r="Q650" s="80">
        <v>0</v>
      </c>
      <c r="R650" s="80">
        <v>0</v>
      </c>
      <c r="S650" s="80">
        <v>0</v>
      </c>
      <c r="T650" s="80">
        <f t="shared" si="399"/>
        <v>0</v>
      </c>
      <c r="U650" s="80">
        <f t="shared" si="400"/>
        <v>0</v>
      </c>
    </row>
    <row r="651" spans="1:21" ht="18.75" hidden="1" x14ac:dyDescent="0.25">
      <c r="A651" s="126"/>
      <c r="B651" s="156"/>
      <c r="C651" s="156"/>
      <c r="D651" s="187"/>
      <c r="E651" s="254" t="s">
        <v>21</v>
      </c>
      <c r="F651" s="187"/>
      <c r="G651" s="39"/>
      <c r="H651" s="135" t="s">
        <v>14</v>
      </c>
      <c r="I651" s="133"/>
      <c r="J651" s="133"/>
      <c r="K651" s="134"/>
      <c r="L651" s="481">
        <v>0</v>
      </c>
      <c r="M651" s="230">
        <v>0</v>
      </c>
      <c r="N651" s="230">
        <v>0</v>
      </c>
      <c r="O651" s="230">
        <f t="shared" si="396"/>
        <v>0</v>
      </c>
      <c r="P651" s="230">
        <f t="shared" si="397"/>
        <v>0</v>
      </c>
      <c r="Q651" s="230">
        <v>0</v>
      </c>
      <c r="R651" s="230">
        <v>0</v>
      </c>
      <c r="S651" s="230">
        <v>0</v>
      </c>
      <c r="T651" s="230">
        <f t="shared" si="399"/>
        <v>0</v>
      </c>
      <c r="U651" s="230">
        <f t="shared" si="400"/>
        <v>0</v>
      </c>
    </row>
    <row r="652" spans="1:21" ht="19.5" x14ac:dyDescent="0.3">
      <c r="A652" s="136"/>
      <c r="B652" s="137"/>
      <c r="C652" s="426" t="s">
        <v>18</v>
      </c>
      <c r="D652" s="695" t="s">
        <v>38</v>
      </c>
      <c r="E652" s="139"/>
      <c r="F652" s="139"/>
      <c r="G652" s="140"/>
      <c r="H652" s="179"/>
      <c r="I652" s="133"/>
      <c r="J652" s="133"/>
      <c r="K652" s="134"/>
      <c r="L652" s="517"/>
      <c r="M652" s="134"/>
      <c r="N652" s="134"/>
      <c r="O652" s="134"/>
      <c r="P652" s="134"/>
      <c r="Q652" s="42"/>
      <c r="R652" s="42"/>
      <c r="S652" s="42"/>
      <c r="T652" s="134"/>
      <c r="U652" s="134"/>
    </row>
    <row r="653" spans="1:21" ht="18.75" hidden="1" x14ac:dyDescent="0.25">
      <c r="A653" s="214"/>
      <c r="B653" s="156"/>
      <c r="C653" s="156"/>
      <c r="D653" s="254" t="s">
        <v>237</v>
      </c>
      <c r="E653" s="187"/>
      <c r="F653" s="187"/>
      <c r="G653" s="39"/>
      <c r="H653" s="135" t="s">
        <v>46</v>
      </c>
      <c r="I653" s="696">
        <f ca="1">IFERROR(__xludf.DUMMYFUNCTION("IMPORTRANGE(""https://docs.google.com/spreadsheets/d/1eHaY18a8A9IcSdp1K8H6x8fbOy06t2VsZHhMHf-1x7Y/edit?usp=sharing"",""แผน!IF21"")"),0)</f>
        <v>0</v>
      </c>
      <c r="J653" s="189">
        <f ca="1">IFERROR(__xludf.DUMMYFUNCTION("IMPORTRANGE(""https://docs.google.com/spreadsheets/d/1tdoBKaGub7dwA3U6UFTqxio9LNnvDCQjHKmttSEBsFQ/edit?usp=sharing"",""จัดที่ดิน!AU21"")"),0)</f>
        <v>0</v>
      </c>
      <c r="K653" s="230">
        <f t="shared" ref="K653:K655" ca="1" si="407">IF(I653&gt;0,J653*100/I653,0)</f>
        <v>0</v>
      </c>
      <c r="L653" s="484"/>
      <c r="M653" s="42"/>
      <c r="N653" s="429"/>
      <c r="O653" s="42"/>
      <c r="P653" s="42"/>
      <c r="Q653" s="42"/>
      <c r="R653" s="42"/>
      <c r="S653" s="429"/>
      <c r="T653" s="42"/>
      <c r="U653" s="42"/>
    </row>
    <row r="654" spans="1:21" ht="18.75" hidden="1" x14ac:dyDescent="0.25">
      <c r="A654" s="214"/>
      <c r="B654" s="156"/>
      <c r="C654" s="156"/>
      <c r="D654" s="254" t="s">
        <v>238</v>
      </c>
      <c r="E654" s="187"/>
      <c r="F654" s="187"/>
      <c r="G654" s="39"/>
      <c r="H654" s="135" t="s">
        <v>35</v>
      </c>
      <c r="I654" s="696">
        <f ca="1">IFERROR(__xludf.DUMMYFUNCTION("IMPORTRANGE(""https://docs.google.com/spreadsheets/d/1eHaY18a8A9IcSdp1K8H6x8fbOy06t2VsZHhMHf-1x7Y/edit?usp=sharing"",""แผน!IG21"")"),0)</f>
        <v>0</v>
      </c>
      <c r="J654" s="189">
        <f ca="1">IFERROR(__xludf.DUMMYFUNCTION("IMPORTRANGE(""https://docs.google.com/spreadsheets/d/1tdoBKaGub7dwA3U6UFTqxio9LNnvDCQjHKmttSEBsFQ/edit?usp=sharing"",""จัดที่ดิน!AW21"")"),0)</f>
        <v>0</v>
      </c>
      <c r="K654" s="230">
        <f t="shared" ca="1" si="407"/>
        <v>0</v>
      </c>
      <c r="L654" s="484"/>
      <c r="M654" s="42"/>
      <c r="N654" s="429"/>
      <c r="O654" s="42"/>
      <c r="P654" s="42"/>
      <c r="Q654" s="42"/>
      <c r="R654" s="42"/>
      <c r="S654" s="429"/>
      <c r="T654" s="42"/>
      <c r="U654" s="42"/>
    </row>
    <row r="655" spans="1:21" ht="19.5" x14ac:dyDescent="0.3">
      <c r="A655" s="214"/>
      <c r="B655" s="156"/>
      <c r="C655" s="156"/>
      <c r="D655" s="254" t="s">
        <v>239</v>
      </c>
      <c r="E655" s="187"/>
      <c r="F655" s="187"/>
      <c r="G655" s="39"/>
      <c r="H655" s="423" t="s">
        <v>46</v>
      </c>
      <c r="I655" s="697">
        <f ca="1">IFERROR(__xludf.DUMMYFUNCTION("IMPORTRANGE(""https://docs.google.com/spreadsheets/d/1eHaY18a8A9IcSdp1K8H6x8fbOy06t2VsZHhMHf-1x7Y/edit?usp=sharing"",""แผน!IH21"")"),30)</f>
        <v>30</v>
      </c>
      <c r="J655" s="340">
        <f>J658+J661</f>
        <v>0</v>
      </c>
      <c r="K655" s="515">
        <f t="shared" ca="1" si="407"/>
        <v>0</v>
      </c>
      <c r="L655" s="484"/>
      <c r="M655" s="42"/>
      <c r="N655" s="429"/>
      <c r="O655" s="42"/>
      <c r="P655" s="42"/>
      <c r="Q655" s="42"/>
      <c r="R655" s="42"/>
      <c r="S655" s="429"/>
      <c r="T655" s="42"/>
      <c r="U655" s="42"/>
    </row>
    <row r="656" spans="1:21" ht="18.75" x14ac:dyDescent="0.25">
      <c r="A656" s="214"/>
      <c r="B656" s="156"/>
      <c r="C656" s="156"/>
      <c r="D656" s="187"/>
      <c r="E656" s="254" t="s">
        <v>240</v>
      </c>
      <c r="F656" s="187"/>
      <c r="G656" s="39"/>
      <c r="H656" s="135" t="s">
        <v>35</v>
      </c>
      <c r="I656" s="181"/>
      <c r="J656" s="520">
        <v>0</v>
      </c>
      <c r="K656" s="42"/>
      <c r="L656" s="484"/>
      <c r="M656" s="42"/>
      <c r="N656" s="429"/>
      <c r="O656" s="42"/>
      <c r="P656" s="42"/>
      <c r="Q656" s="42"/>
      <c r="R656" s="42"/>
      <c r="S656" s="429"/>
      <c r="T656" s="42"/>
      <c r="U656" s="42"/>
    </row>
    <row r="657" spans="1:21" ht="18.75" x14ac:dyDescent="0.25">
      <c r="A657" s="214"/>
      <c r="B657" s="156"/>
      <c r="C657" s="156"/>
      <c r="D657" s="187"/>
      <c r="E657" s="187"/>
      <c r="F657" s="187"/>
      <c r="G657" s="39"/>
      <c r="H657" s="135" t="s">
        <v>34</v>
      </c>
      <c r="I657" s="181"/>
      <c r="J657" s="520">
        <v>0</v>
      </c>
      <c r="K657" s="42"/>
      <c r="L657" s="484"/>
      <c r="M657" s="42"/>
      <c r="N657" s="429"/>
      <c r="O657" s="42"/>
      <c r="P657" s="42"/>
      <c r="Q657" s="42"/>
      <c r="R657" s="42"/>
      <c r="S657" s="429"/>
      <c r="T657" s="42"/>
      <c r="U657" s="42"/>
    </row>
    <row r="658" spans="1:21" ht="18.75" x14ac:dyDescent="0.25">
      <c r="A658" s="214"/>
      <c r="B658" s="156"/>
      <c r="C658" s="156"/>
      <c r="D658" s="187"/>
      <c r="E658" s="187"/>
      <c r="F658" s="187"/>
      <c r="G658" s="39"/>
      <c r="H658" s="135" t="s">
        <v>46</v>
      </c>
      <c r="I658" s="696">
        <f ca="1">IFERROR(__xludf.DUMMYFUNCTION("IMPORTRANGE(""https://docs.google.com/spreadsheets/d/1eHaY18a8A9IcSdp1K8H6x8fbOy06t2VsZHhMHf-1x7Y/edit?usp=sharing"",""แผน!II21"")"),10)</f>
        <v>10</v>
      </c>
      <c r="J658" s="520">
        <v>0</v>
      </c>
      <c r="K658" s="42"/>
      <c r="L658" s="484"/>
      <c r="M658" s="42"/>
      <c r="N658" s="429"/>
      <c r="O658" s="42"/>
      <c r="P658" s="42"/>
      <c r="Q658" s="42"/>
      <c r="R658" s="42"/>
      <c r="S658" s="429"/>
      <c r="T658" s="42"/>
      <c r="U658" s="42"/>
    </row>
    <row r="659" spans="1:21" ht="18.75" x14ac:dyDescent="0.25">
      <c r="A659" s="214"/>
      <c r="B659" s="156"/>
      <c r="C659" s="156"/>
      <c r="D659" s="187"/>
      <c r="E659" s="254" t="s">
        <v>241</v>
      </c>
      <c r="F659" s="187"/>
      <c r="G659" s="39"/>
      <c r="H659" s="135" t="s">
        <v>35</v>
      </c>
      <c r="I659" s="181"/>
      <c r="J659" s="520">
        <v>0</v>
      </c>
      <c r="K659" s="42"/>
      <c r="L659" s="484"/>
      <c r="M659" s="42"/>
      <c r="N659" s="429"/>
      <c r="O659" s="42"/>
      <c r="P659" s="42"/>
      <c r="Q659" s="42"/>
      <c r="R659" s="42"/>
      <c r="S659" s="429"/>
      <c r="T659" s="42"/>
      <c r="U659" s="42"/>
    </row>
    <row r="660" spans="1:21" ht="18.75" x14ac:dyDescent="0.25">
      <c r="A660" s="214"/>
      <c r="B660" s="156"/>
      <c r="C660" s="156"/>
      <c r="D660" s="187"/>
      <c r="E660" s="187"/>
      <c r="F660" s="187"/>
      <c r="G660" s="39"/>
      <c r="H660" s="135" t="s">
        <v>34</v>
      </c>
      <c r="I660" s="181"/>
      <c r="J660" s="520">
        <v>0</v>
      </c>
      <c r="K660" s="42"/>
      <c r="L660" s="484"/>
      <c r="M660" s="42"/>
      <c r="N660" s="429"/>
      <c r="O660" s="42"/>
      <c r="P660" s="42"/>
      <c r="Q660" s="42"/>
      <c r="R660" s="42"/>
      <c r="S660" s="429"/>
      <c r="T660" s="42"/>
      <c r="U660" s="42"/>
    </row>
    <row r="661" spans="1:21" ht="18.75" x14ac:dyDescent="0.25">
      <c r="A661" s="214"/>
      <c r="B661" s="156"/>
      <c r="C661" s="156"/>
      <c r="D661" s="187"/>
      <c r="E661" s="187"/>
      <c r="F661" s="187"/>
      <c r="G661" s="39"/>
      <c r="H661" s="135" t="s">
        <v>46</v>
      </c>
      <c r="I661" s="696">
        <f ca="1">IFERROR(__xludf.DUMMYFUNCTION("IMPORTRANGE(""https://docs.google.com/spreadsheets/d/1eHaY18a8A9IcSdp1K8H6x8fbOy06t2VsZHhMHf-1x7Y/edit?usp=sharing"",""แผน!IJ21"")"),20)</f>
        <v>20</v>
      </c>
      <c r="J661" s="520">
        <v>0</v>
      </c>
      <c r="K661" s="42"/>
      <c r="L661" s="484"/>
      <c r="M661" s="42"/>
      <c r="N661" s="429"/>
      <c r="O661" s="42"/>
      <c r="P661" s="42"/>
      <c r="Q661" s="42"/>
      <c r="R661" s="42"/>
      <c r="S661" s="429"/>
      <c r="T661" s="42"/>
      <c r="U661" s="42"/>
    </row>
    <row r="662" spans="1:21" ht="19.5" x14ac:dyDescent="0.3">
      <c r="A662" s="214"/>
      <c r="B662" s="156"/>
      <c r="C662" s="156"/>
      <c r="D662" s="344" t="s">
        <v>242</v>
      </c>
      <c r="E662" s="187"/>
      <c r="F662" s="187"/>
      <c r="G662" s="39"/>
      <c r="H662" s="423" t="s">
        <v>46</v>
      </c>
      <c r="I662" s="697">
        <f ca="1">IFERROR(__xludf.DUMMYFUNCTION("IMPORTRANGE(""https://docs.google.com/spreadsheets/d/1eHaY18a8A9IcSdp1K8H6x8fbOy06t2VsZHhMHf-1x7Y/edit?usp=sharing"",""แผน!IK21"")"),19)</f>
        <v>19</v>
      </c>
      <c r="J662" s="340">
        <f>J668+J671</f>
        <v>0</v>
      </c>
      <c r="K662" s="515">
        <f ca="1">IF(I662&gt;0,J662*100/I662,0)</f>
        <v>0</v>
      </c>
      <c r="L662" s="484"/>
      <c r="M662" s="42"/>
      <c r="N662" s="429"/>
      <c r="O662" s="42"/>
      <c r="P662" s="42"/>
      <c r="Q662" s="42"/>
      <c r="R662" s="42"/>
      <c r="S662" s="429"/>
      <c r="T662" s="42"/>
      <c r="U662" s="42"/>
    </row>
    <row r="663" spans="1:21" ht="18.75" x14ac:dyDescent="0.25">
      <c r="A663" s="214"/>
      <c r="B663" s="156"/>
      <c r="C663" s="156"/>
      <c r="D663" s="187"/>
      <c r="E663" s="254" t="s">
        <v>243</v>
      </c>
      <c r="F663" s="187"/>
      <c r="G663" s="39"/>
      <c r="H663" s="135" t="s">
        <v>34</v>
      </c>
      <c r="I663" s="181"/>
      <c r="J663" s="520">
        <v>0</v>
      </c>
      <c r="K663" s="42"/>
      <c r="L663" s="698"/>
      <c r="M663" s="42"/>
      <c r="N663" s="429"/>
      <c r="O663" s="42"/>
      <c r="P663" s="42"/>
      <c r="Q663" s="429"/>
      <c r="R663" s="42"/>
      <c r="S663" s="429"/>
      <c r="T663" s="42"/>
      <c r="U663" s="42"/>
    </row>
    <row r="664" spans="1:21" ht="18.75" x14ac:dyDescent="0.25">
      <c r="A664" s="214"/>
      <c r="B664" s="156"/>
      <c r="C664" s="156"/>
      <c r="D664" s="187"/>
      <c r="E664" s="187"/>
      <c r="F664" s="187"/>
      <c r="G664" s="39"/>
      <c r="H664" s="135" t="s">
        <v>46</v>
      </c>
      <c r="I664" s="181"/>
      <c r="J664" s="520">
        <v>0</v>
      </c>
      <c r="K664" s="42"/>
      <c r="L664" s="698"/>
      <c r="M664" s="42"/>
      <c r="N664" s="429"/>
      <c r="O664" s="42"/>
      <c r="P664" s="42"/>
      <c r="Q664" s="429"/>
      <c r="R664" s="42"/>
      <c r="S664" s="429"/>
      <c r="T664" s="42"/>
      <c r="U664" s="42"/>
    </row>
    <row r="665" spans="1:21" ht="18.75" x14ac:dyDescent="0.25">
      <c r="A665" s="214"/>
      <c r="B665" s="156"/>
      <c r="C665" s="156"/>
      <c r="D665" s="187"/>
      <c r="E665" s="254" t="s">
        <v>244</v>
      </c>
      <c r="F665" s="187"/>
      <c r="G665" s="39"/>
      <c r="H665" s="179"/>
      <c r="I665" s="181"/>
      <c r="J665" s="41"/>
      <c r="K665" s="42"/>
      <c r="L665" s="698"/>
      <c r="M665" s="42"/>
      <c r="N665" s="429"/>
      <c r="O665" s="42"/>
      <c r="P665" s="42"/>
      <c r="Q665" s="429"/>
      <c r="R665" s="42"/>
      <c r="S665" s="429"/>
      <c r="T665" s="42"/>
      <c r="U665" s="42"/>
    </row>
    <row r="666" spans="1:21" ht="18.75" x14ac:dyDescent="0.25">
      <c r="A666" s="214"/>
      <c r="B666" s="156"/>
      <c r="C666" s="156"/>
      <c r="D666" s="187"/>
      <c r="E666" s="187"/>
      <c r="F666" s="254" t="s">
        <v>245</v>
      </c>
      <c r="G666" s="39"/>
      <c r="H666" s="135" t="s">
        <v>35</v>
      </c>
      <c r="I666" s="181"/>
      <c r="J666" s="520">
        <v>0</v>
      </c>
      <c r="K666" s="42"/>
      <c r="L666" s="698"/>
      <c r="M666" s="42"/>
      <c r="N666" s="429"/>
      <c r="O666" s="42"/>
      <c r="P666" s="42"/>
      <c r="Q666" s="429"/>
      <c r="R666" s="42"/>
      <c r="S666" s="429"/>
      <c r="T666" s="42"/>
      <c r="U666" s="42"/>
    </row>
    <row r="667" spans="1:21" ht="18.75" x14ac:dyDescent="0.25">
      <c r="A667" s="214"/>
      <c r="B667" s="156"/>
      <c r="C667" s="156"/>
      <c r="D667" s="187"/>
      <c r="E667" s="187"/>
      <c r="F667" s="187"/>
      <c r="G667" s="39"/>
      <c r="H667" s="135" t="s">
        <v>34</v>
      </c>
      <c r="I667" s="181"/>
      <c r="J667" s="520">
        <v>0</v>
      </c>
      <c r="K667" s="42"/>
      <c r="L667" s="698"/>
      <c r="M667" s="42"/>
      <c r="N667" s="429"/>
      <c r="O667" s="42"/>
      <c r="P667" s="42"/>
      <c r="Q667" s="429"/>
      <c r="R667" s="42"/>
      <c r="S667" s="429"/>
      <c r="T667" s="42"/>
      <c r="U667" s="42"/>
    </row>
    <row r="668" spans="1:21" ht="18.75" x14ac:dyDescent="0.25">
      <c r="A668" s="214"/>
      <c r="B668" s="156"/>
      <c r="C668" s="156"/>
      <c r="D668" s="187"/>
      <c r="E668" s="187"/>
      <c r="F668" s="187"/>
      <c r="G668" s="39"/>
      <c r="H668" s="135" t="s">
        <v>46</v>
      </c>
      <c r="I668" s="181"/>
      <c r="J668" s="520">
        <v>0</v>
      </c>
      <c r="K668" s="42"/>
      <c r="L668" s="698"/>
      <c r="M668" s="42"/>
      <c r="N668" s="429"/>
      <c r="O668" s="42"/>
      <c r="P668" s="42"/>
      <c r="Q668" s="429"/>
      <c r="R668" s="42"/>
      <c r="S668" s="429"/>
      <c r="T668" s="42"/>
      <c r="U668" s="42"/>
    </row>
    <row r="669" spans="1:21" ht="18.75" x14ac:dyDescent="0.25">
      <c r="A669" s="214"/>
      <c r="B669" s="156"/>
      <c r="C669" s="156"/>
      <c r="D669" s="187"/>
      <c r="E669" s="187"/>
      <c r="F669" s="254" t="s">
        <v>246</v>
      </c>
      <c r="G669" s="39"/>
      <c r="H669" s="135" t="s">
        <v>35</v>
      </c>
      <c r="I669" s="181"/>
      <c r="J669" s="520">
        <v>0</v>
      </c>
      <c r="K669" s="42"/>
      <c r="L669" s="698"/>
      <c r="M669" s="42"/>
      <c r="N669" s="429"/>
      <c r="O669" s="42"/>
      <c r="P669" s="42"/>
      <c r="Q669" s="429"/>
      <c r="R669" s="42"/>
      <c r="S669" s="429"/>
      <c r="T669" s="42"/>
      <c r="U669" s="42"/>
    </row>
    <row r="670" spans="1:21" ht="18.75" x14ac:dyDescent="0.25">
      <c r="A670" s="214"/>
      <c r="B670" s="156"/>
      <c r="C670" s="156"/>
      <c r="D670" s="187"/>
      <c r="E670" s="187"/>
      <c r="F670" s="187"/>
      <c r="G670" s="39"/>
      <c r="H670" s="135" t="s">
        <v>34</v>
      </c>
      <c r="I670" s="181"/>
      <c r="J670" s="520">
        <v>0</v>
      </c>
      <c r="K670" s="42"/>
      <c r="L670" s="698"/>
      <c r="M670" s="42"/>
      <c r="N670" s="429"/>
      <c r="O670" s="42"/>
      <c r="P670" s="42"/>
      <c r="Q670" s="429"/>
      <c r="R670" s="42"/>
      <c r="S670" s="429"/>
      <c r="T670" s="42"/>
      <c r="U670" s="42"/>
    </row>
    <row r="671" spans="1:21" ht="18.75" x14ac:dyDescent="0.25">
      <c r="A671" s="214"/>
      <c r="B671" s="156"/>
      <c r="C671" s="156"/>
      <c r="D671" s="187"/>
      <c r="E671" s="187"/>
      <c r="F671" s="187"/>
      <c r="G671" s="39"/>
      <c r="H671" s="135" t="s">
        <v>46</v>
      </c>
      <c r="I671" s="181"/>
      <c r="J671" s="520">
        <v>0</v>
      </c>
      <c r="K671" s="42"/>
      <c r="L671" s="698"/>
      <c r="M671" s="42"/>
      <c r="N671" s="429"/>
      <c r="O671" s="42"/>
      <c r="P671" s="42"/>
      <c r="Q671" s="429"/>
      <c r="R671" s="42"/>
      <c r="S671" s="429"/>
      <c r="T671" s="42"/>
      <c r="U671" s="42"/>
    </row>
    <row r="672" spans="1:21" ht="18.75" x14ac:dyDescent="0.25">
      <c r="A672" s="214"/>
      <c r="B672" s="156"/>
      <c r="C672" s="156"/>
      <c r="D672" s="254" t="s">
        <v>247</v>
      </c>
      <c r="E672" s="187"/>
      <c r="F672" s="187"/>
      <c r="G672" s="39"/>
      <c r="H672" s="135" t="s">
        <v>35</v>
      </c>
      <c r="I672" s="181"/>
      <c r="J672" s="189">
        <f ca="1">IFERROR(__xludf.DUMMYFUNCTION("IMPORTRANGE(""https://docs.google.com/spreadsheets/d/1tdoBKaGub7dwA3U6UFTqxio9LNnvDCQjHKmttSEBsFQ/edit?usp=sharing"",""จัดที่ดิน!AY21"")"),0)</f>
        <v>0</v>
      </c>
      <c r="K672" s="42"/>
      <c r="L672" s="484"/>
      <c r="M672" s="42"/>
      <c r="N672" s="429"/>
      <c r="O672" s="42"/>
      <c r="P672" s="42"/>
      <c r="Q672" s="42"/>
      <c r="R672" s="42"/>
      <c r="S672" s="429"/>
      <c r="T672" s="42"/>
      <c r="U672" s="42"/>
    </row>
    <row r="673" spans="1:21" ht="18.75" x14ac:dyDescent="0.25">
      <c r="A673" s="214"/>
      <c r="B673" s="156"/>
      <c r="C673" s="156"/>
      <c r="D673" s="187"/>
      <c r="E673" s="187"/>
      <c r="F673" s="187"/>
      <c r="G673" s="39"/>
      <c r="H673" s="135" t="s">
        <v>34</v>
      </c>
      <c r="I673" s="181"/>
      <c r="J673" s="189">
        <f ca="1">IFERROR(__xludf.DUMMYFUNCTION("IMPORTRANGE(""https://docs.google.com/spreadsheets/d/1tdoBKaGub7dwA3U6UFTqxio9LNnvDCQjHKmttSEBsFQ/edit?usp=sharing"",""จัดที่ดิน!AZ21"")"),0)</f>
        <v>0</v>
      </c>
      <c r="K673" s="42"/>
      <c r="L673" s="698"/>
      <c r="M673" s="42"/>
      <c r="N673" s="429"/>
      <c r="O673" s="42"/>
      <c r="P673" s="42"/>
      <c r="Q673" s="429"/>
      <c r="R673" s="42"/>
      <c r="S673" s="429"/>
      <c r="T673" s="42"/>
      <c r="U673" s="42"/>
    </row>
    <row r="674" spans="1:21" ht="18.75" x14ac:dyDescent="0.25">
      <c r="A674" s="214"/>
      <c r="B674" s="156"/>
      <c r="C674" s="156"/>
      <c r="D674" s="187"/>
      <c r="E674" s="187"/>
      <c r="F674" s="187"/>
      <c r="G674" s="39"/>
      <c r="H674" s="135" t="s">
        <v>46</v>
      </c>
      <c r="I674" s="696">
        <f ca="1">IFERROR(__xludf.DUMMYFUNCTION("IMPORTRANGE(""https://docs.google.com/spreadsheets/d/1eHaY18a8A9IcSdp1K8H6x8fbOy06t2VsZHhMHf-1x7Y/edit?usp=sharing"",""แผน!IL21"")"),20)</f>
        <v>20</v>
      </c>
      <c r="J674" s="189">
        <f ca="1">IFERROR(__xludf.DUMMYFUNCTION("IMPORTRANGE(""https://docs.google.com/spreadsheets/d/1tdoBKaGub7dwA3U6UFTqxio9LNnvDCQjHKmttSEBsFQ/edit?usp=sharing"",""จัดที่ดิน!BA21"")"),0)</f>
        <v>0</v>
      </c>
      <c r="K674" s="230">
        <f t="shared" ref="K674:K677" ca="1" si="408">IF(I674&gt;0,J674*100/I674,0)</f>
        <v>0</v>
      </c>
      <c r="L674" s="698"/>
      <c r="M674" s="42"/>
      <c r="N674" s="429"/>
      <c r="O674" s="42"/>
      <c r="P674" s="42"/>
      <c r="Q674" s="429"/>
      <c r="R674" s="42"/>
      <c r="S674" s="429"/>
      <c r="T674" s="42"/>
      <c r="U674" s="42"/>
    </row>
    <row r="675" spans="1:21" ht="19.5" x14ac:dyDescent="0.3">
      <c r="A675" s="214"/>
      <c r="B675" s="156"/>
      <c r="C675" s="156"/>
      <c r="D675" s="254" t="s">
        <v>248</v>
      </c>
      <c r="E675" s="187"/>
      <c r="F675" s="187"/>
      <c r="G675" s="39"/>
      <c r="H675" s="423" t="s">
        <v>35</v>
      </c>
      <c r="I675" s="697">
        <f ca="1">IFERROR(__xludf.DUMMYFUNCTION("IMPORTRANGE(""https://docs.google.com/spreadsheets/d/1eHaY18a8A9IcSdp1K8H6x8fbOy06t2VsZHhMHf-1x7Y/edit?usp=sharing"",""แผน!IM21"")"),10)</f>
        <v>10</v>
      </c>
      <c r="J675" s="340">
        <f ca="1">J677+J680</f>
        <v>0</v>
      </c>
      <c r="K675" s="515">
        <f t="shared" ca="1" si="408"/>
        <v>0</v>
      </c>
      <c r="L675" s="698"/>
      <c r="M675" s="42"/>
      <c r="N675" s="429"/>
      <c r="O675" s="42"/>
      <c r="P675" s="42"/>
      <c r="Q675" s="429"/>
      <c r="R675" s="42"/>
      <c r="S675" s="429"/>
      <c r="T675" s="42"/>
      <c r="U675" s="42"/>
    </row>
    <row r="676" spans="1:21" ht="19.5" x14ac:dyDescent="0.3">
      <c r="A676" s="214"/>
      <c r="B676" s="156"/>
      <c r="C676" s="156"/>
      <c r="D676" s="187"/>
      <c r="E676" s="187"/>
      <c r="F676" s="187"/>
      <c r="G676" s="39"/>
      <c r="H676" s="423" t="s">
        <v>46</v>
      </c>
      <c r="I676" s="697">
        <f ca="1">IFERROR(__xludf.DUMMYFUNCTION("IMPORTRANGE(""https://docs.google.com/spreadsheets/d/1eHaY18a8A9IcSdp1K8H6x8fbOy06t2VsZHhMHf-1x7Y/edit?usp=sharing"",""แผน!IN21"")"),100)</f>
        <v>100</v>
      </c>
      <c r="J676" s="340">
        <f ca="1">J679+J682</f>
        <v>0</v>
      </c>
      <c r="K676" s="515">
        <f t="shared" ca="1" si="408"/>
        <v>0</v>
      </c>
      <c r="L676" s="484"/>
      <c r="M676" s="42"/>
      <c r="N676" s="429"/>
      <c r="O676" s="42"/>
      <c r="P676" s="42"/>
      <c r="Q676" s="42"/>
      <c r="R676" s="42"/>
      <c r="S676" s="429"/>
      <c r="T676" s="42"/>
      <c r="U676" s="42"/>
    </row>
    <row r="677" spans="1:21" ht="18.75" x14ac:dyDescent="0.25">
      <c r="A677" s="214"/>
      <c r="B677" s="156"/>
      <c r="C677" s="156"/>
      <c r="D677" s="187"/>
      <c r="E677" s="254" t="s">
        <v>249</v>
      </c>
      <c r="F677" s="187"/>
      <c r="G677" s="39"/>
      <c r="H677" s="135" t="s">
        <v>35</v>
      </c>
      <c r="I677" s="696">
        <f ca="1">IFERROR(__xludf.DUMMYFUNCTION("IMPORTRANGE(""https://docs.google.com/spreadsheets/d/1eHaY18a8A9IcSdp1K8H6x8fbOy06t2VsZHhMHf-1x7Y/edit?usp=sharing"",""แผน!IO21"")"),6)</f>
        <v>6</v>
      </c>
      <c r="J677" s="189">
        <f ca="1">IFERROR(__xludf.DUMMYFUNCTION("IMPORTRANGE(""https://docs.google.com/spreadsheets/d/1tdoBKaGub7dwA3U6UFTqxio9LNnvDCQjHKmttSEBsFQ/edit?usp=sharing"",""จัดที่ดิน!BF21"")"),0)</f>
        <v>0</v>
      </c>
      <c r="K677" s="230">
        <f t="shared" ca="1" si="408"/>
        <v>0</v>
      </c>
      <c r="L677" s="484"/>
      <c r="M677" s="42"/>
      <c r="N677" s="429"/>
      <c r="O677" s="42"/>
      <c r="P677" s="42"/>
      <c r="Q677" s="42"/>
      <c r="R677" s="42"/>
      <c r="S677" s="429"/>
      <c r="T677" s="42"/>
      <c r="U677" s="42"/>
    </row>
    <row r="678" spans="1:21" ht="18.75" x14ac:dyDescent="0.25">
      <c r="A678" s="214"/>
      <c r="B678" s="156"/>
      <c r="C678" s="156"/>
      <c r="D678" s="187"/>
      <c r="E678" s="187"/>
      <c r="F678" s="187"/>
      <c r="G678" s="39"/>
      <c r="H678" s="135" t="s">
        <v>34</v>
      </c>
      <c r="I678" s="181"/>
      <c r="J678" s="189">
        <f ca="1">IFERROR(__xludf.DUMMYFUNCTION("IMPORTRANGE(""https://docs.google.com/spreadsheets/d/1tdoBKaGub7dwA3U6UFTqxio9LNnvDCQjHKmttSEBsFQ/edit?usp=sharing"",""จัดที่ดิน!BG21"")"),0)</f>
        <v>0</v>
      </c>
      <c r="K678" s="42"/>
      <c r="L678" s="698"/>
      <c r="M678" s="42"/>
      <c r="N678" s="429"/>
      <c r="O678" s="42"/>
      <c r="P678" s="42"/>
      <c r="Q678" s="429"/>
      <c r="R678" s="42"/>
      <c r="S678" s="429"/>
      <c r="T678" s="42"/>
      <c r="U678" s="42"/>
    </row>
    <row r="679" spans="1:21" ht="18.75" x14ac:dyDescent="0.25">
      <c r="A679" s="214"/>
      <c r="B679" s="156"/>
      <c r="C679" s="156"/>
      <c r="D679" s="187"/>
      <c r="E679" s="187"/>
      <c r="F679" s="187"/>
      <c r="G679" s="39"/>
      <c r="H679" s="135" t="s">
        <v>46</v>
      </c>
      <c r="I679" s="696">
        <f ca="1">IFERROR(__xludf.DUMMYFUNCTION("IMPORTRANGE(""https://docs.google.com/spreadsheets/d/1eHaY18a8A9IcSdp1K8H6x8fbOy06t2VsZHhMHf-1x7Y/edit?usp=sharing"",""แผน!IP21"")"),60)</f>
        <v>60</v>
      </c>
      <c r="J679" s="189">
        <f ca="1">IFERROR(__xludf.DUMMYFUNCTION("IMPORTRANGE(""https://docs.google.com/spreadsheets/d/1tdoBKaGub7dwA3U6UFTqxio9LNnvDCQjHKmttSEBsFQ/edit?usp=sharing"",""จัดที่ดิน!BH21"")"),0)</f>
        <v>0</v>
      </c>
      <c r="K679" s="230">
        <f t="shared" ref="K679:K680" ca="1" si="409">IF(I679&gt;0,J679*100/I679,0)</f>
        <v>0</v>
      </c>
      <c r="L679" s="698"/>
      <c r="M679" s="42"/>
      <c r="N679" s="429"/>
      <c r="O679" s="42"/>
      <c r="P679" s="42"/>
      <c r="Q679" s="429"/>
      <c r="R679" s="42"/>
      <c r="S679" s="429"/>
      <c r="T679" s="42"/>
      <c r="U679" s="42"/>
    </row>
    <row r="680" spans="1:21" ht="18.75" x14ac:dyDescent="0.25">
      <c r="A680" s="214"/>
      <c r="B680" s="156"/>
      <c r="C680" s="156"/>
      <c r="D680" s="187"/>
      <c r="E680" s="254" t="s">
        <v>250</v>
      </c>
      <c r="F680" s="187"/>
      <c r="G680" s="39"/>
      <c r="H680" s="135" t="s">
        <v>35</v>
      </c>
      <c r="I680" s="696">
        <f ca="1">IFERROR(__xludf.DUMMYFUNCTION("IMPORTRANGE(""https://docs.google.com/spreadsheets/d/1eHaY18a8A9IcSdp1K8H6x8fbOy06t2VsZHhMHf-1x7Y/edit?usp=sharing"",""แผน!IQ21"")"),4)</f>
        <v>4</v>
      </c>
      <c r="J680" s="189">
        <f ca="1">IFERROR(__xludf.DUMMYFUNCTION("IMPORTRANGE(""https://docs.google.com/spreadsheets/d/1tdoBKaGub7dwA3U6UFTqxio9LNnvDCQjHKmttSEBsFQ/edit?usp=sharing"",""จัดที่ดิน!BK21"")"),0)</f>
        <v>0</v>
      </c>
      <c r="K680" s="230">
        <f t="shared" ca="1" si="409"/>
        <v>0</v>
      </c>
      <c r="L680" s="484"/>
      <c r="M680" s="42"/>
      <c r="N680" s="429"/>
      <c r="O680" s="42"/>
      <c r="P680" s="42"/>
      <c r="Q680" s="42"/>
      <c r="R680" s="42"/>
      <c r="S680" s="429"/>
      <c r="T680" s="42"/>
      <c r="U680" s="42"/>
    </row>
    <row r="681" spans="1:21" ht="18.75" x14ac:dyDescent="0.25">
      <c r="A681" s="214"/>
      <c r="B681" s="156"/>
      <c r="C681" s="156"/>
      <c r="D681" s="187"/>
      <c r="E681" s="187"/>
      <c r="F681" s="187"/>
      <c r="G681" s="39"/>
      <c r="H681" s="135" t="s">
        <v>34</v>
      </c>
      <c r="I681" s="181"/>
      <c r="J681" s="189">
        <f ca="1">IFERROR(__xludf.DUMMYFUNCTION("IMPORTRANGE(""https://docs.google.com/spreadsheets/d/1tdoBKaGub7dwA3U6UFTqxio9LNnvDCQjHKmttSEBsFQ/edit?usp=sharing"",""จัดที่ดิน!BL21"")"),0)</f>
        <v>0</v>
      </c>
      <c r="K681" s="42"/>
      <c r="L681" s="698"/>
      <c r="M681" s="42"/>
      <c r="N681" s="429"/>
      <c r="O681" s="42"/>
      <c r="P681" s="42"/>
      <c r="Q681" s="429"/>
      <c r="R681" s="42"/>
      <c r="S681" s="429"/>
      <c r="T681" s="42"/>
      <c r="U681" s="42"/>
    </row>
    <row r="682" spans="1:21" ht="18.75" x14ac:dyDescent="0.25">
      <c r="A682" s="214"/>
      <c r="B682" s="156"/>
      <c r="C682" s="156"/>
      <c r="D682" s="187"/>
      <c r="E682" s="187"/>
      <c r="F682" s="187"/>
      <c r="G682" s="39"/>
      <c r="H682" s="135" t="s">
        <v>46</v>
      </c>
      <c r="I682" s="696">
        <f ca="1">IFERROR(__xludf.DUMMYFUNCTION("IMPORTRANGE(""https://docs.google.com/spreadsheets/d/1eHaY18a8A9IcSdp1K8H6x8fbOy06t2VsZHhMHf-1x7Y/edit?usp=sharing"",""แผน!IR21"")"),40)</f>
        <v>40</v>
      </c>
      <c r="J682" s="189">
        <f ca="1">IFERROR(__xludf.DUMMYFUNCTION("IMPORTRANGE(""https://docs.google.com/spreadsheets/d/1tdoBKaGub7dwA3U6UFTqxio9LNnvDCQjHKmttSEBsFQ/edit?usp=sharing"",""จัดที่ดิน!BM21"")"),0)</f>
        <v>0</v>
      </c>
      <c r="K682" s="230">
        <f t="shared" ref="K682:K683" ca="1" si="410">IF(I682&gt;0,J682*100/I682,0)</f>
        <v>0</v>
      </c>
      <c r="L682" s="698"/>
      <c r="M682" s="42"/>
      <c r="N682" s="429"/>
      <c r="O682" s="42"/>
      <c r="P682" s="42"/>
      <c r="Q682" s="429"/>
      <c r="R682" s="42"/>
      <c r="S682" s="429"/>
      <c r="T682" s="42"/>
      <c r="U682" s="42"/>
    </row>
    <row r="683" spans="1:21" ht="19.5" hidden="1" x14ac:dyDescent="0.3">
      <c r="A683" s="214"/>
      <c r="B683" s="156"/>
      <c r="C683" s="156"/>
      <c r="D683" s="254" t="s">
        <v>251</v>
      </c>
      <c r="E683" s="187"/>
      <c r="F683" s="187"/>
      <c r="G683" s="39"/>
      <c r="H683" s="423" t="s">
        <v>46</v>
      </c>
      <c r="I683" s="697">
        <f ca="1">IFERROR(__xludf.DUMMYFUNCTION("IMPORTRANGE(""https://docs.google.com/spreadsheets/d/1eHaY18a8A9IcSdp1K8H6x8fbOy06t2VsZHhMHf-1x7Y/edit?usp=sharing"",""แผน!IS21"")"),0)</f>
        <v>0</v>
      </c>
      <c r="J683" s="340">
        <f>J686+J689</f>
        <v>0</v>
      </c>
      <c r="K683" s="515">
        <f t="shared" ca="1" si="410"/>
        <v>0</v>
      </c>
      <c r="L683" s="484"/>
      <c r="M683" s="42"/>
      <c r="N683" s="429"/>
      <c r="O683" s="42"/>
      <c r="P683" s="42"/>
      <c r="Q683" s="42"/>
      <c r="R683" s="42"/>
      <c r="S683" s="429"/>
      <c r="T683" s="42"/>
      <c r="U683" s="42"/>
    </row>
    <row r="684" spans="1:21" ht="18.75" hidden="1" x14ac:dyDescent="0.25">
      <c r="A684" s="214"/>
      <c r="B684" s="156"/>
      <c r="C684" s="156"/>
      <c r="D684" s="187"/>
      <c r="E684" s="254" t="s">
        <v>252</v>
      </c>
      <c r="F684" s="187"/>
      <c r="G684" s="39"/>
      <c r="H684" s="135" t="s">
        <v>35</v>
      </c>
      <c r="I684" s="181"/>
      <c r="J684" s="520">
        <v>0</v>
      </c>
      <c r="K684" s="42"/>
      <c r="L684" s="698"/>
      <c r="M684" s="42"/>
      <c r="N684" s="429"/>
      <c r="O684" s="42"/>
      <c r="P684" s="42"/>
      <c r="Q684" s="429"/>
      <c r="R684" s="42"/>
      <c r="S684" s="429"/>
      <c r="T684" s="42"/>
      <c r="U684" s="42"/>
    </row>
    <row r="685" spans="1:21" ht="18.75" hidden="1" x14ac:dyDescent="0.25">
      <c r="A685" s="214"/>
      <c r="B685" s="156"/>
      <c r="C685" s="156"/>
      <c r="D685" s="187"/>
      <c r="E685" s="187"/>
      <c r="F685" s="187"/>
      <c r="G685" s="39"/>
      <c r="H685" s="135" t="s">
        <v>34</v>
      </c>
      <c r="I685" s="181"/>
      <c r="J685" s="520">
        <v>0</v>
      </c>
      <c r="K685" s="42"/>
      <c r="L685" s="698"/>
      <c r="M685" s="42"/>
      <c r="N685" s="429"/>
      <c r="O685" s="42"/>
      <c r="P685" s="42"/>
      <c r="Q685" s="429"/>
      <c r="R685" s="42"/>
      <c r="S685" s="429"/>
      <c r="T685" s="42"/>
      <c r="U685" s="42"/>
    </row>
    <row r="686" spans="1:21" ht="18.75" hidden="1" x14ac:dyDescent="0.25">
      <c r="A686" s="214"/>
      <c r="B686" s="156"/>
      <c r="C686" s="156"/>
      <c r="D686" s="187"/>
      <c r="E686" s="187"/>
      <c r="F686" s="187"/>
      <c r="G686" s="39"/>
      <c r="H686" s="135" t="s">
        <v>46</v>
      </c>
      <c r="I686" s="181"/>
      <c r="J686" s="520">
        <v>0</v>
      </c>
      <c r="K686" s="42"/>
      <c r="L686" s="698"/>
      <c r="M686" s="42"/>
      <c r="N686" s="429"/>
      <c r="O686" s="42"/>
      <c r="P686" s="42"/>
      <c r="Q686" s="429"/>
      <c r="R686" s="42"/>
      <c r="S686" s="429"/>
      <c r="T686" s="42"/>
      <c r="U686" s="42"/>
    </row>
    <row r="687" spans="1:21" ht="18.75" hidden="1" x14ac:dyDescent="0.25">
      <c r="A687" s="214"/>
      <c r="B687" s="156"/>
      <c r="C687" s="156"/>
      <c r="D687" s="187"/>
      <c r="E687" s="254" t="s">
        <v>253</v>
      </c>
      <c r="F687" s="187"/>
      <c r="G687" s="39"/>
      <c r="H687" s="135" t="s">
        <v>35</v>
      </c>
      <c r="I687" s="181"/>
      <c r="J687" s="520">
        <v>0</v>
      </c>
      <c r="K687" s="42"/>
      <c r="L687" s="698"/>
      <c r="M687" s="42"/>
      <c r="N687" s="429"/>
      <c r="O687" s="42"/>
      <c r="P687" s="42"/>
      <c r="Q687" s="429"/>
      <c r="R687" s="42"/>
      <c r="S687" s="429"/>
      <c r="T687" s="42"/>
      <c r="U687" s="42"/>
    </row>
    <row r="688" spans="1:21" ht="18.75" hidden="1" x14ac:dyDescent="0.25">
      <c r="A688" s="214"/>
      <c r="B688" s="156"/>
      <c r="C688" s="156"/>
      <c r="D688" s="187"/>
      <c r="E688" s="187"/>
      <c r="F688" s="187"/>
      <c r="G688" s="39"/>
      <c r="H688" s="135" t="s">
        <v>34</v>
      </c>
      <c r="I688" s="181"/>
      <c r="J688" s="520">
        <v>0</v>
      </c>
      <c r="K688" s="42"/>
      <c r="L688" s="698"/>
      <c r="M688" s="42"/>
      <c r="N688" s="429"/>
      <c r="O688" s="42"/>
      <c r="P688" s="42"/>
      <c r="Q688" s="429"/>
      <c r="R688" s="42"/>
      <c r="S688" s="429"/>
      <c r="T688" s="42"/>
      <c r="U688" s="42"/>
    </row>
    <row r="689" spans="1:21" ht="19.5" hidden="1" x14ac:dyDescent="0.3">
      <c r="A689" s="257"/>
      <c r="B689" s="432" t="s">
        <v>254</v>
      </c>
      <c r="C689" s="258"/>
      <c r="D689" s="260"/>
      <c r="E689" s="260"/>
      <c r="F689" s="260"/>
      <c r="G689" s="261"/>
      <c r="H689" s="192" t="s">
        <v>46</v>
      </c>
      <c r="I689" s="342"/>
      <c r="J689" s="666">
        <v>0</v>
      </c>
      <c r="K689" s="7"/>
      <c r="L689" s="699"/>
      <c r="M689" s="7"/>
      <c r="N689" s="433"/>
      <c r="O689" s="7"/>
      <c r="P689" s="7"/>
      <c r="Q689" s="433"/>
      <c r="R689" s="7"/>
      <c r="S689" s="433"/>
      <c r="T689" s="7"/>
      <c r="U689" s="7"/>
    </row>
    <row r="690" spans="1:21" ht="19.5" x14ac:dyDescent="0.3">
      <c r="A690" s="406"/>
      <c r="B690" s="407" t="s">
        <v>255</v>
      </c>
      <c r="C690" s="406"/>
      <c r="D690" s="408"/>
      <c r="E690" s="408"/>
      <c r="F690" s="408"/>
      <c r="G690" s="409"/>
      <c r="H690" s="448" t="s">
        <v>35</v>
      </c>
      <c r="I690" s="700">
        <f t="shared" ref="I690:J690" ca="1" si="411">I708</f>
        <v>90</v>
      </c>
      <c r="J690" s="700">
        <f t="shared" ca="1" si="411"/>
        <v>30</v>
      </c>
      <c r="K690" s="701">
        <f ca="1">IF(I690&gt;0,J690*100/I690,0)</f>
        <v>33.333333333333336</v>
      </c>
      <c r="L690" s="690"/>
      <c r="M690" s="412"/>
      <c r="N690" s="412"/>
      <c r="O690" s="412"/>
      <c r="P690" s="412"/>
      <c r="Q690" s="412"/>
      <c r="R690" s="412"/>
      <c r="S690" s="412"/>
      <c r="T690" s="412"/>
      <c r="U690" s="412"/>
    </row>
    <row r="691" spans="1:21" ht="19.5" x14ac:dyDescent="0.3">
      <c r="A691" s="126"/>
      <c r="B691" s="156"/>
      <c r="C691" s="178" t="s">
        <v>18</v>
      </c>
      <c r="D691" s="830" t="s">
        <v>19</v>
      </c>
      <c r="E691" s="812"/>
      <c r="F691" s="812"/>
      <c r="G691" s="813"/>
      <c r="H691" s="227" t="s">
        <v>14</v>
      </c>
      <c r="I691" s="41"/>
      <c r="J691" s="41"/>
      <c r="K691" s="42"/>
      <c r="L691" s="514">
        <f t="shared" ref="L691:N691" si="412">L692+L693</f>
        <v>0</v>
      </c>
      <c r="M691" s="515">
        <f t="shared" si="412"/>
        <v>0</v>
      </c>
      <c r="N691" s="515">
        <f t="shared" si="412"/>
        <v>0</v>
      </c>
      <c r="O691" s="515">
        <f t="shared" ref="O691:O699" si="413">IF(L691&gt;0,N691*100/L691,0)</f>
        <v>0</v>
      </c>
      <c r="P691" s="515">
        <f t="shared" ref="P691:P699" si="414">IF(M691&gt;0,N691*100/M691,0)</f>
        <v>0</v>
      </c>
      <c r="Q691" s="515">
        <f t="shared" ref="Q691:S691" ca="1" si="415">Q692+Q693</f>
        <v>198670</v>
      </c>
      <c r="R691" s="515">
        <f t="shared" ca="1" si="415"/>
        <v>198670</v>
      </c>
      <c r="S691" s="515">
        <f t="shared" ca="1" si="415"/>
        <v>21140</v>
      </c>
      <c r="T691" s="515">
        <f t="shared" ref="T691:T699" ca="1" si="416">IF(Q691&gt;0,S691*100/Q691,0)</f>
        <v>10.640761061056022</v>
      </c>
      <c r="U691" s="515">
        <f t="shared" ref="U691:U699" ca="1" si="417">IF(R691&gt;0,S691*100/R691,0)</f>
        <v>10.640761061056022</v>
      </c>
    </row>
    <row r="692" spans="1:21" ht="18.75" hidden="1" x14ac:dyDescent="0.25">
      <c r="A692" s="126"/>
      <c r="B692" s="156"/>
      <c r="C692" s="156"/>
      <c r="D692" s="167"/>
      <c r="E692" s="154" t="s">
        <v>158</v>
      </c>
      <c r="F692" s="187"/>
      <c r="G692" s="39"/>
      <c r="H692" s="157" t="s">
        <v>14</v>
      </c>
      <c r="I692" s="41"/>
      <c r="J692" s="41"/>
      <c r="K692" s="42"/>
      <c r="L692" s="483">
        <f t="shared" ref="L692:N693" si="418">L695+L698</f>
        <v>0</v>
      </c>
      <c r="M692" s="80">
        <f t="shared" si="418"/>
        <v>0</v>
      </c>
      <c r="N692" s="80">
        <f t="shared" si="418"/>
        <v>0</v>
      </c>
      <c r="O692" s="80">
        <f t="shared" si="413"/>
        <v>0</v>
      </c>
      <c r="P692" s="80">
        <f t="shared" si="414"/>
        <v>0</v>
      </c>
      <c r="Q692" s="80">
        <f t="shared" ref="Q692:S693" si="419">Q695+Q698</f>
        <v>0</v>
      </c>
      <c r="R692" s="80">
        <f t="shared" si="419"/>
        <v>0</v>
      </c>
      <c r="S692" s="80">
        <f t="shared" si="419"/>
        <v>0</v>
      </c>
      <c r="T692" s="80">
        <f t="shared" si="416"/>
        <v>0</v>
      </c>
      <c r="U692" s="80">
        <f t="shared" si="417"/>
        <v>0</v>
      </c>
    </row>
    <row r="693" spans="1:21" ht="18.75" hidden="1" x14ac:dyDescent="0.25">
      <c r="A693" s="126"/>
      <c r="B693" s="156"/>
      <c r="C693" s="156"/>
      <c r="D693" s="167"/>
      <c r="E693" s="254" t="s">
        <v>159</v>
      </c>
      <c r="F693" s="187"/>
      <c r="G693" s="39"/>
      <c r="H693" s="132" t="s">
        <v>14</v>
      </c>
      <c r="I693" s="41"/>
      <c r="J693" s="41"/>
      <c r="K693" s="42"/>
      <c r="L693" s="481">
        <f t="shared" si="418"/>
        <v>0</v>
      </c>
      <c r="M693" s="230">
        <f t="shared" si="418"/>
        <v>0</v>
      </c>
      <c r="N693" s="230">
        <f t="shared" si="418"/>
        <v>0</v>
      </c>
      <c r="O693" s="230">
        <f t="shared" si="413"/>
        <v>0</v>
      </c>
      <c r="P693" s="230">
        <f t="shared" si="414"/>
        <v>0</v>
      </c>
      <c r="Q693" s="230">
        <f t="shared" ca="1" si="419"/>
        <v>198670</v>
      </c>
      <c r="R693" s="230">
        <f t="shared" ca="1" si="419"/>
        <v>198670</v>
      </c>
      <c r="S693" s="230">
        <f t="shared" ca="1" si="419"/>
        <v>21140</v>
      </c>
      <c r="T693" s="230">
        <f t="shared" ca="1" si="416"/>
        <v>10.640761061056022</v>
      </c>
      <c r="U693" s="230">
        <f t="shared" ca="1" si="417"/>
        <v>10.640761061056022</v>
      </c>
    </row>
    <row r="694" spans="1:21" ht="18.75" x14ac:dyDescent="0.25">
      <c r="A694" s="126"/>
      <c r="B694" s="156"/>
      <c r="C694" s="156"/>
      <c r="D694" s="38" t="s">
        <v>22</v>
      </c>
      <c r="E694" s="187"/>
      <c r="F694" s="187"/>
      <c r="G694" s="39"/>
      <c r="H694" s="132" t="s">
        <v>14</v>
      </c>
      <c r="I694" s="133"/>
      <c r="J694" s="133"/>
      <c r="K694" s="134"/>
      <c r="L694" s="481">
        <f t="shared" ref="L694:N694" si="420">L695+L696</f>
        <v>0</v>
      </c>
      <c r="M694" s="230">
        <f t="shared" si="420"/>
        <v>0</v>
      </c>
      <c r="N694" s="230">
        <f t="shared" si="420"/>
        <v>0</v>
      </c>
      <c r="O694" s="230">
        <f t="shared" si="413"/>
        <v>0</v>
      </c>
      <c r="P694" s="230">
        <f t="shared" si="414"/>
        <v>0</v>
      </c>
      <c r="Q694" s="230">
        <f t="shared" ref="Q694:S694" ca="1" si="421">Q695+Q696</f>
        <v>198670</v>
      </c>
      <c r="R694" s="230">
        <f t="shared" ca="1" si="421"/>
        <v>198670</v>
      </c>
      <c r="S694" s="230">
        <f t="shared" ca="1" si="421"/>
        <v>21140</v>
      </c>
      <c r="T694" s="230">
        <f t="shared" ca="1" si="416"/>
        <v>10.640761061056022</v>
      </c>
      <c r="U694" s="230">
        <f t="shared" ca="1" si="417"/>
        <v>10.640761061056022</v>
      </c>
    </row>
    <row r="695" spans="1:21" ht="18.75" hidden="1" x14ac:dyDescent="0.25">
      <c r="A695" s="126"/>
      <c r="B695" s="156"/>
      <c r="C695" s="156"/>
      <c r="D695" s="167"/>
      <c r="E695" s="154" t="s">
        <v>158</v>
      </c>
      <c r="F695" s="187"/>
      <c r="G695" s="39"/>
      <c r="H695" s="157" t="s">
        <v>14</v>
      </c>
      <c r="I695" s="41"/>
      <c r="J695" s="41"/>
      <c r="K695" s="42"/>
      <c r="L695" s="483">
        <v>0</v>
      </c>
      <c r="M695" s="80">
        <v>0</v>
      </c>
      <c r="N695" s="80">
        <v>0</v>
      </c>
      <c r="O695" s="80">
        <f t="shared" si="413"/>
        <v>0</v>
      </c>
      <c r="P695" s="80">
        <f t="shared" si="414"/>
        <v>0</v>
      </c>
      <c r="Q695" s="80">
        <v>0</v>
      </c>
      <c r="R695" s="80">
        <v>0</v>
      </c>
      <c r="S695" s="80">
        <v>0</v>
      </c>
      <c r="T695" s="80">
        <f t="shared" si="416"/>
        <v>0</v>
      </c>
      <c r="U695" s="80">
        <f t="shared" si="417"/>
        <v>0</v>
      </c>
    </row>
    <row r="696" spans="1:21" ht="18.75" hidden="1" x14ac:dyDescent="0.25">
      <c r="A696" s="126"/>
      <c r="B696" s="156"/>
      <c r="C696" s="156"/>
      <c r="D696" s="167"/>
      <c r="E696" s="254" t="s">
        <v>159</v>
      </c>
      <c r="F696" s="187"/>
      <c r="G696" s="39"/>
      <c r="H696" s="132" t="s">
        <v>14</v>
      </c>
      <c r="I696" s="41"/>
      <c r="J696" s="41"/>
      <c r="K696" s="42"/>
      <c r="L696" s="481">
        <v>0</v>
      </c>
      <c r="M696" s="230">
        <v>0</v>
      </c>
      <c r="N696" s="230">
        <v>0</v>
      </c>
      <c r="O696" s="230">
        <f t="shared" si="413"/>
        <v>0</v>
      </c>
      <c r="P696" s="230">
        <f t="shared" si="414"/>
        <v>0</v>
      </c>
      <c r="Q696" s="230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6" s="230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6" s="230">
        <f ca="1">IFERROR(__xludf.DUMMYFUNCTION("IMPORTRANGE(""https://docs.google.com/spreadsheets/d/1ItG2mGa2ceCfYo0BwxsXqNm01IGEUdYcSSLTEv9YCik/edit?usp=sharing"",""เบิกจ่ายกองทุน!N21"")"),21140)</f>
        <v>21140</v>
      </c>
      <c r="T696" s="230">
        <f t="shared" ca="1" si="416"/>
        <v>10.640761061056022</v>
      </c>
      <c r="U696" s="230">
        <f t="shared" ca="1" si="417"/>
        <v>10.640761061056022</v>
      </c>
    </row>
    <row r="697" spans="1:21" ht="18.75" x14ac:dyDescent="0.25">
      <c r="A697" s="126"/>
      <c r="B697" s="156"/>
      <c r="C697" s="156"/>
      <c r="D697" s="38" t="s">
        <v>23</v>
      </c>
      <c r="E697" s="187"/>
      <c r="F697" s="187"/>
      <c r="G697" s="39"/>
      <c r="H697" s="135" t="s">
        <v>14</v>
      </c>
      <c r="I697" s="133"/>
      <c r="J697" s="133"/>
      <c r="K697" s="134"/>
      <c r="L697" s="481">
        <f t="shared" ref="L697:N697" si="422">L698+L699</f>
        <v>0</v>
      </c>
      <c r="M697" s="230">
        <f t="shared" si="422"/>
        <v>0</v>
      </c>
      <c r="N697" s="230">
        <f t="shared" si="422"/>
        <v>0</v>
      </c>
      <c r="O697" s="230">
        <f t="shared" si="413"/>
        <v>0</v>
      </c>
      <c r="P697" s="230">
        <f t="shared" si="414"/>
        <v>0</v>
      </c>
      <c r="Q697" s="230">
        <f t="shared" ref="Q697:S697" si="423">Q698+Q699</f>
        <v>0</v>
      </c>
      <c r="R697" s="230">
        <f t="shared" si="423"/>
        <v>0</v>
      </c>
      <c r="S697" s="230">
        <f t="shared" si="423"/>
        <v>0</v>
      </c>
      <c r="T697" s="230">
        <f t="shared" si="416"/>
        <v>0</v>
      </c>
      <c r="U697" s="230">
        <f t="shared" si="417"/>
        <v>0</v>
      </c>
    </row>
    <row r="698" spans="1:21" ht="18.75" hidden="1" x14ac:dyDescent="0.25">
      <c r="A698" s="126"/>
      <c r="B698" s="156"/>
      <c r="C698" s="156"/>
      <c r="D698" s="187"/>
      <c r="E698" s="154" t="s">
        <v>20</v>
      </c>
      <c r="F698" s="187"/>
      <c r="G698" s="39"/>
      <c r="H698" s="157" t="s">
        <v>14</v>
      </c>
      <c r="I698" s="133"/>
      <c r="J698" s="133"/>
      <c r="K698" s="134"/>
      <c r="L698" s="483">
        <v>0</v>
      </c>
      <c r="M698" s="80">
        <v>0</v>
      </c>
      <c r="N698" s="80">
        <v>0</v>
      </c>
      <c r="O698" s="80">
        <f t="shared" si="413"/>
        <v>0</v>
      </c>
      <c r="P698" s="80">
        <f t="shared" si="414"/>
        <v>0</v>
      </c>
      <c r="Q698" s="80">
        <v>0</v>
      </c>
      <c r="R698" s="80">
        <v>0</v>
      </c>
      <c r="S698" s="80">
        <v>0</v>
      </c>
      <c r="T698" s="80">
        <f t="shared" si="416"/>
        <v>0</v>
      </c>
      <c r="U698" s="80">
        <f t="shared" si="417"/>
        <v>0</v>
      </c>
    </row>
    <row r="699" spans="1:21" ht="18.75" hidden="1" x14ac:dyDescent="0.25">
      <c r="A699" s="126"/>
      <c r="B699" s="156"/>
      <c r="C699" s="156"/>
      <c r="D699" s="187"/>
      <c r="E699" s="254" t="s">
        <v>21</v>
      </c>
      <c r="F699" s="187"/>
      <c r="G699" s="39"/>
      <c r="H699" s="135" t="s">
        <v>14</v>
      </c>
      <c r="I699" s="133"/>
      <c r="J699" s="133"/>
      <c r="K699" s="134"/>
      <c r="L699" s="481">
        <v>0</v>
      </c>
      <c r="M699" s="230">
        <v>0</v>
      </c>
      <c r="N699" s="230">
        <v>0</v>
      </c>
      <c r="O699" s="230">
        <f t="shared" si="413"/>
        <v>0</v>
      </c>
      <c r="P699" s="230">
        <f t="shared" si="414"/>
        <v>0</v>
      </c>
      <c r="Q699" s="230">
        <v>0</v>
      </c>
      <c r="R699" s="230">
        <v>0</v>
      </c>
      <c r="S699" s="230">
        <v>0</v>
      </c>
      <c r="T699" s="230">
        <f t="shared" si="416"/>
        <v>0</v>
      </c>
      <c r="U699" s="230">
        <f t="shared" si="417"/>
        <v>0</v>
      </c>
    </row>
    <row r="700" spans="1:21" ht="19.5" x14ac:dyDescent="0.3">
      <c r="A700" s="136"/>
      <c r="B700" s="137"/>
      <c r="C700" s="178" t="s">
        <v>18</v>
      </c>
      <c r="D700" s="516" t="s">
        <v>38</v>
      </c>
      <c r="E700" s="139"/>
      <c r="F700" s="139"/>
      <c r="G700" s="139"/>
      <c r="H700" s="179"/>
      <c r="I700" s="133"/>
      <c r="J700" s="133"/>
      <c r="K700" s="134"/>
      <c r="L700" s="484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1:21" ht="18.75" x14ac:dyDescent="0.25">
      <c r="A701" s="214"/>
      <c r="B701" s="156"/>
      <c r="C701" s="156"/>
      <c r="D701" s="167"/>
      <c r="E701" s="319" t="s">
        <v>256</v>
      </c>
      <c r="F701" s="167"/>
      <c r="G701" s="141"/>
      <c r="H701" s="135" t="s">
        <v>257</v>
      </c>
      <c r="I701" s="189">
        <f ca="1">IFERROR(__xludf.DUMMYFUNCTION("IMPORTRANGE(""https://docs.google.com/spreadsheets/d/1eHaY18a8A9IcSdp1K8H6x8fbOy06t2VsZHhMHf-1x7Y/edit?usp=sharing"",""แผน!LC21"")"),0)</f>
        <v>0</v>
      </c>
      <c r="J701" s="520">
        <v>0</v>
      </c>
      <c r="K701" s="521">
        <f t="shared" ref="K701:K711" ca="1" si="424">IF(I701&gt;0,J701*100/I701,0)</f>
        <v>0</v>
      </c>
      <c r="L701" s="517"/>
      <c r="M701" s="134"/>
      <c r="N701" s="42"/>
      <c r="O701" s="134"/>
      <c r="P701" s="134"/>
      <c r="Q701" s="134"/>
      <c r="R701" s="134"/>
      <c r="S701" s="42"/>
      <c r="T701" s="134"/>
      <c r="U701" s="134"/>
    </row>
    <row r="702" spans="1:21" ht="19.5" x14ac:dyDescent="0.3">
      <c r="A702" s="214"/>
      <c r="B702" s="156"/>
      <c r="C702" s="156"/>
      <c r="D702" s="167"/>
      <c r="E702" s="437" t="s">
        <v>258</v>
      </c>
      <c r="F702" s="167"/>
      <c r="G702" s="141"/>
      <c r="H702" s="129" t="s">
        <v>35</v>
      </c>
      <c r="I702" s="340">
        <f t="shared" ref="I702:J702" ca="1" si="425">I704+I706</f>
        <v>94</v>
      </c>
      <c r="J702" s="340">
        <f t="shared" ca="1" si="425"/>
        <v>57</v>
      </c>
      <c r="K702" s="515">
        <f t="shared" ca="1" si="424"/>
        <v>60.638297872340424</v>
      </c>
      <c r="L702" s="517"/>
      <c r="M702" s="134"/>
      <c r="N702" s="134"/>
      <c r="O702" s="134"/>
      <c r="P702" s="134"/>
      <c r="Q702" s="134"/>
      <c r="R702" s="134"/>
      <c r="S702" s="134"/>
      <c r="T702" s="134"/>
      <c r="U702" s="134"/>
    </row>
    <row r="703" spans="1:21" ht="19.5" x14ac:dyDescent="0.3">
      <c r="A703" s="214"/>
      <c r="B703" s="156"/>
      <c r="C703" s="156"/>
      <c r="D703" s="167"/>
      <c r="E703" s="167"/>
      <c r="F703" s="167"/>
      <c r="G703" s="141"/>
      <c r="H703" s="129" t="s">
        <v>46</v>
      </c>
      <c r="I703" s="340">
        <v>0</v>
      </c>
      <c r="J703" s="340">
        <f ca="1">J705+J707</f>
        <v>40.299999999999997</v>
      </c>
      <c r="K703" s="515">
        <f t="shared" si="424"/>
        <v>0</v>
      </c>
      <c r="L703" s="517"/>
      <c r="M703" s="134"/>
      <c r="N703" s="134"/>
      <c r="O703" s="134"/>
      <c r="P703" s="134"/>
      <c r="Q703" s="134"/>
      <c r="R703" s="134"/>
      <c r="S703" s="134"/>
      <c r="T703" s="134"/>
      <c r="U703" s="134"/>
    </row>
    <row r="704" spans="1:21" ht="18.75" x14ac:dyDescent="0.25">
      <c r="A704" s="214"/>
      <c r="B704" s="156"/>
      <c r="C704" s="156"/>
      <c r="D704" s="167"/>
      <c r="E704" s="167"/>
      <c r="F704" s="319" t="s">
        <v>259</v>
      </c>
      <c r="G704" s="141"/>
      <c r="H704" s="135" t="s">
        <v>35</v>
      </c>
      <c r="I704" s="189">
        <f ca="1">IFERROR(__xludf.DUMMYFUNCTION("IMPORTRANGE(""https://docs.google.com/spreadsheets/d/1eHaY18a8A9IcSdp1K8H6x8fbOy06t2VsZHhMHf-1x7Y/edit?usp=sharing"",""แผน!LJ21"")"),90)</f>
        <v>90</v>
      </c>
      <c r="J704" s="189">
        <f ca="1">IFERROR(__xludf.DUMMYFUNCTION("IMPORTRANGE(""https://docs.google.com/spreadsheets/d/1tdoBKaGub7dwA3U6UFTqxio9LNnvDCQjHKmttSEBsFQ/edit?usp=sharing"",""จัดที่ดิน!AP21"")"),57)</f>
        <v>57</v>
      </c>
      <c r="K704" s="230">
        <f t="shared" ca="1" si="424"/>
        <v>63.333333333333336</v>
      </c>
      <c r="L704" s="517"/>
      <c r="M704" s="134"/>
      <c r="N704" s="134"/>
      <c r="O704" s="134"/>
      <c r="P704" s="134"/>
      <c r="Q704" s="134"/>
      <c r="R704" s="134"/>
      <c r="S704" s="134"/>
      <c r="T704" s="134"/>
      <c r="U704" s="134"/>
    </row>
    <row r="705" spans="1:21" ht="18.75" x14ac:dyDescent="0.25">
      <c r="A705" s="214"/>
      <c r="B705" s="156"/>
      <c r="C705" s="156"/>
      <c r="D705" s="167"/>
      <c r="E705" s="167"/>
      <c r="F705" s="167"/>
      <c r="G705" s="141"/>
      <c r="H705" s="135" t="s">
        <v>46</v>
      </c>
      <c r="I705" s="189">
        <v>0</v>
      </c>
      <c r="J705" s="189">
        <f ca="1">IFERROR(__xludf.DUMMYFUNCTION("IMPORTRANGE(""https://docs.google.com/spreadsheets/d/1tdoBKaGub7dwA3U6UFTqxio9LNnvDCQjHKmttSEBsFQ/edit?usp=sharing"",""จัดที่ดิน!AQ21"")"),40.3)</f>
        <v>40.299999999999997</v>
      </c>
      <c r="K705" s="230">
        <f t="shared" si="424"/>
        <v>0</v>
      </c>
      <c r="L705" s="517"/>
      <c r="M705" s="134"/>
      <c r="N705" s="134"/>
      <c r="O705" s="134"/>
      <c r="P705" s="134"/>
      <c r="Q705" s="134"/>
      <c r="R705" s="134"/>
      <c r="S705" s="134"/>
      <c r="T705" s="134"/>
      <c r="U705" s="134"/>
    </row>
    <row r="706" spans="1:21" ht="18.75" x14ac:dyDescent="0.25">
      <c r="A706" s="214"/>
      <c r="B706" s="156"/>
      <c r="C706" s="156"/>
      <c r="D706" s="167"/>
      <c r="E706" s="167"/>
      <c r="F706" s="319" t="s">
        <v>260</v>
      </c>
      <c r="G706" s="141"/>
      <c r="H706" s="135" t="s">
        <v>35</v>
      </c>
      <c r="I706" s="189">
        <f ca="1">IFERROR(__xludf.DUMMYFUNCTION("IMPORTRANGE(""https://docs.google.com/spreadsheets/d/1eHaY18a8A9IcSdp1K8H6x8fbOy06t2VsZHhMHf-1x7Y/edit?usp=sharing"",""แผน!LK21"")"),4)</f>
        <v>4</v>
      </c>
      <c r="J706" s="189">
        <f ca="1">IFERROR(__xludf.DUMMYFUNCTION("IMPORTRANGE(""https://docs.google.com/spreadsheets/d/1tdoBKaGub7dwA3U6UFTqxio9LNnvDCQjHKmttSEBsFQ/edit?usp=sharing"",""จัดที่ดิน!AR21"")"),0)</f>
        <v>0</v>
      </c>
      <c r="K706" s="521">
        <f t="shared" ca="1" si="424"/>
        <v>0</v>
      </c>
      <c r="L706" s="517"/>
      <c r="M706" s="134"/>
      <c r="N706" s="134"/>
      <c r="O706" s="134"/>
      <c r="P706" s="134"/>
      <c r="Q706" s="134"/>
      <c r="R706" s="134"/>
      <c r="S706" s="134"/>
      <c r="T706" s="134"/>
      <c r="U706" s="134"/>
    </row>
    <row r="707" spans="1:21" ht="18.75" x14ac:dyDescent="0.25">
      <c r="A707" s="214"/>
      <c r="B707" s="156"/>
      <c r="C707" s="156"/>
      <c r="D707" s="167"/>
      <c r="E707" s="167"/>
      <c r="F707" s="167"/>
      <c r="G707" s="141"/>
      <c r="H707" s="135" t="s">
        <v>46</v>
      </c>
      <c r="I707" s="189">
        <v>0</v>
      </c>
      <c r="J707" s="189">
        <f ca="1">IFERROR(__xludf.DUMMYFUNCTION("IMPORTRANGE(""https://docs.google.com/spreadsheets/d/1tdoBKaGub7dwA3U6UFTqxio9LNnvDCQjHKmttSEBsFQ/edit?usp=sharing"",""จัดที่ดิน!AS21"")"),0)</f>
        <v>0</v>
      </c>
      <c r="K707" s="230">
        <f t="shared" si="424"/>
        <v>0</v>
      </c>
      <c r="L707" s="517"/>
      <c r="M707" s="134"/>
      <c r="N707" s="134"/>
      <c r="O707" s="134"/>
      <c r="P707" s="134"/>
      <c r="Q707" s="134"/>
      <c r="R707" s="134"/>
      <c r="S707" s="134"/>
      <c r="T707" s="134"/>
      <c r="U707" s="134"/>
    </row>
    <row r="708" spans="1:21" ht="18.75" x14ac:dyDescent="0.25">
      <c r="A708" s="214"/>
      <c r="B708" s="156"/>
      <c r="C708" s="156"/>
      <c r="D708" s="167"/>
      <c r="E708" s="319" t="s">
        <v>261</v>
      </c>
      <c r="F708" s="167"/>
      <c r="G708" s="141"/>
      <c r="H708" s="132" t="s">
        <v>35</v>
      </c>
      <c r="I708" s="189">
        <f ca="1">IFERROR(__xludf.DUMMYFUNCTION("IMPORTRANGE(""https://docs.google.com/spreadsheets/d/1eHaY18a8A9IcSdp1K8H6x8fbOy06t2VsZHhMHf-1x7Y/edit?usp=sharing"",""แผน!LJ21"")"),90)</f>
        <v>90</v>
      </c>
      <c r="J708" s="189">
        <f ca="1">IFERROR(__xludf.DUMMYFUNCTION("IMPORTRANGE(""https://docs.google.com/spreadsheets/d/1tdoBKaGub7dwA3U6UFTqxio9LNnvDCQjHKmttSEBsFQ/edit?usp=sharing"",""จัดที่ดิน!BN21"")"),30)</f>
        <v>30</v>
      </c>
      <c r="K708" s="230">
        <f t="shared" ca="1" si="424"/>
        <v>33.333333333333336</v>
      </c>
      <c r="L708" s="517"/>
      <c r="M708" s="134"/>
      <c r="N708" s="134"/>
      <c r="O708" s="134"/>
      <c r="P708" s="134"/>
      <c r="Q708" s="134"/>
      <c r="R708" s="134"/>
      <c r="S708" s="134"/>
      <c r="T708" s="134"/>
      <c r="U708" s="134"/>
    </row>
    <row r="709" spans="1:21" ht="18.75" x14ac:dyDescent="0.25">
      <c r="A709" s="214"/>
      <c r="B709" s="156"/>
      <c r="C709" s="156"/>
      <c r="D709" s="167"/>
      <c r="E709" s="438" t="s">
        <v>262</v>
      </c>
      <c r="F709" s="167"/>
      <c r="G709" s="141"/>
      <c r="H709" s="132" t="s">
        <v>46</v>
      </c>
      <c r="I709" s="189">
        <v>0</v>
      </c>
      <c r="J709" s="189">
        <f ca="1">IFERROR(__xludf.DUMMYFUNCTION("IMPORTRANGE(""https://docs.google.com/spreadsheets/d/1tdoBKaGub7dwA3U6UFTqxio9LNnvDCQjHKmttSEBsFQ/edit?usp=sharing"",""จัดที่ดิน!BO21"")"),17)</f>
        <v>17</v>
      </c>
      <c r="K709" s="230">
        <f t="shared" si="424"/>
        <v>0</v>
      </c>
      <c r="L709" s="517"/>
      <c r="M709" s="134"/>
      <c r="N709" s="134"/>
      <c r="O709" s="134"/>
      <c r="P709" s="134"/>
      <c r="Q709" s="134"/>
      <c r="R709" s="134"/>
      <c r="S709" s="134"/>
      <c r="T709" s="134"/>
      <c r="U709" s="134"/>
    </row>
    <row r="710" spans="1:21" ht="18.75" x14ac:dyDescent="0.25">
      <c r="A710" s="214"/>
      <c r="B710" s="156"/>
      <c r="C710" s="156"/>
      <c r="D710" s="187"/>
      <c r="E710" s="254" t="s">
        <v>263</v>
      </c>
      <c r="F710" s="187"/>
      <c r="G710" s="39"/>
      <c r="H710" s="176" t="s">
        <v>35</v>
      </c>
      <c r="I710" s="189">
        <f ca="1">IFERROR(__xludf.DUMMYFUNCTION("IMPORTRANGE(""https://docs.google.com/spreadsheets/d/1eHaY18a8A9IcSdp1K8H6x8fbOy06t2VsZHhMHf-1x7Y/edit?usp=sharing"",""แผน!LK21"")"),4)</f>
        <v>4</v>
      </c>
      <c r="J710" s="189">
        <f ca="1">IFERROR(__xludf.DUMMYFUNCTION("IMPORTRANGE(""https://docs.google.com/spreadsheets/d/1tdoBKaGub7dwA3U6UFTqxio9LNnvDCQjHKmttSEBsFQ/edit?usp=sharing"",""จัดที่ดิน!BP21"")"),0)</f>
        <v>0</v>
      </c>
      <c r="K710" s="230">
        <f t="shared" ca="1" si="424"/>
        <v>0</v>
      </c>
      <c r="L710" s="484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1:21" ht="18.75" x14ac:dyDescent="0.25">
      <c r="A711" s="214"/>
      <c r="B711" s="156"/>
      <c r="C711" s="156"/>
      <c r="D711" s="187"/>
      <c r="E711" s="438" t="s">
        <v>264</v>
      </c>
      <c r="F711" s="187"/>
      <c r="G711" s="39"/>
      <c r="H711" s="176" t="s">
        <v>46</v>
      </c>
      <c r="I711" s="189">
        <v>0</v>
      </c>
      <c r="J711" s="189">
        <f ca="1">IFERROR(__xludf.DUMMYFUNCTION("IMPORTRANGE(""https://docs.google.com/spreadsheets/d/1tdoBKaGub7dwA3U6UFTqxio9LNnvDCQjHKmttSEBsFQ/edit?usp=sharing"",""จัดที่ดิน!BQ21"")"),0)</f>
        <v>0</v>
      </c>
      <c r="K711" s="230">
        <f t="shared" si="424"/>
        <v>0</v>
      </c>
      <c r="L711" s="484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1:21" ht="12.75" hidden="1" x14ac:dyDescent="0.2">
      <c r="A712" s="372"/>
      <c r="B712" s="327"/>
      <c r="C712" s="327"/>
      <c r="D712" s="373"/>
      <c r="E712" s="373"/>
      <c r="F712" s="373"/>
      <c r="G712" s="374"/>
      <c r="H712" s="328"/>
      <c r="I712" s="329"/>
      <c r="J712" s="329"/>
      <c r="K712" s="330"/>
      <c r="L712" s="663"/>
      <c r="M712" s="330"/>
      <c r="N712" s="330"/>
      <c r="O712" s="330"/>
      <c r="P712" s="330"/>
      <c r="Q712" s="330"/>
      <c r="R712" s="330"/>
      <c r="S712" s="330"/>
      <c r="T712" s="330"/>
      <c r="U712" s="330"/>
    </row>
    <row r="713" spans="1:21" ht="19.5" hidden="1" x14ac:dyDescent="0.3">
      <c r="A713" s="406"/>
      <c r="B713" s="439" t="s">
        <v>265</v>
      </c>
      <c r="C713" s="406"/>
      <c r="D713" s="408"/>
      <c r="E713" s="408"/>
      <c r="F713" s="408"/>
      <c r="G713" s="409"/>
      <c r="H713" s="440" t="s">
        <v>46</v>
      </c>
      <c r="I713" s="411"/>
      <c r="J713" s="411">
        <f>J725</f>
        <v>0</v>
      </c>
      <c r="K713" s="702">
        <f>IF(I713&gt;0,J713*100/I713,0)</f>
        <v>0</v>
      </c>
      <c r="L713" s="690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406"/>
      <c r="B714" s="439" t="s">
        <v>266</v>
      </c>
      <c r="C714" s="406"/>
      <c r="D714" s="408"/>
      <c r="E714" s="408"/>
      <c r="F714" s="408"/>
      <c r="G714" s="409"/>
      <c r="H714" s="410"/>
      <c r="I714" s="411"/>
      <c r="J714" s="411"/>
      <c r="K714" s="412"/>
      <c r="L714" s="690"/>
      <c r="M714" s="412"/>
      <c r="N714" s="412"/>
      <c r="O714" s="412"/>
      <c r="P714" s="412"/>
      <c r="Q714" s="412"/>
      <c r="R714" s="412"/>
      <c r="S714" s="412"/>
      <c r="T714" s="412"/>
      <c r="U714" s="412"/>
    </row>
    <row r="715" spans="1:21" ht="19.5" hidden="1" x14ac:dyDescent="0.3">
      <c r="A715" s="126"/>
      <c r="B715" s="156"/>
      <c r="C715" s="442" t="s">
        <v>18</v>
      </c>
      <c r="D715" s="831" t="s">
        <v>19</v>
      </c>
      <c r="E715" s="812"/>
      <c r="F715" s="812"/>
      <c r="G715" s="813"/>
      <c r="H715" s="384" t="s">
        <v>14</v>
      </c>
      <c r="I715" s="41"/>
      <c r="J715" s="41"/>
      <c r="K715" s="42"/>
      <c r="L715" s="514">
        <f t="shared" ref="L715:N715" si="426">L716+L717</f>
        <v>0</v>
      </c>
      <c r="M715" s="515">
        <f t="shared" si="426"/>
        <v>0</v>
      </c>
      <c r="N715" s="515">
        <f t="shared" si="426"/>
        <v>0</v>
      </c>
      <c r="O715" s="515">
        <f t="shared" ref="O715:O723" si="427">IF(L715&gt;0,N715*100/L715,0)</f>
        <v>0</v>
      </c>
      <c r="P715" s="515">
        <f t="shared" ref="P715:P723" si="428">IF(M715&gt;0,N715*100/M715,0)</f>
        <v>0</v>
      </c>
      <c r="Q715" s="515">
        <f t="shared" ref="Q715:S715" si="429">Q716+Q717</f>
        <v>0</v>
      </c>
      <c r="R715" s="515">
        <f t="shared" si="429"/>
        <v>0</v>
      </c>
      <c r="S715" s="515">
        <f t="shared" si="429"/>
        <v>0</v>
      </c>
      <c r="T715" s="515">
        <f t="shared" ref="T715:T723" si="430">IF(Q715&gt;0,S715*100/Q715,0)</f>
        <v>0</v>
      </c>
      <c r="U715" s="515">
        <f t="shared" ref="U715:U723" si="431">IF(R715&gt;0,S715*100/R715,0)</f>
        <v>0</v>
      </c>
    </row>
    <row r="716" spans="1:21" ht="18.75" hidden="1" x14ac:dyDescent="0.25">
      <c r="A716" s="126"/>
      <c r="B716" s="156"/>
      <c r="C716" s="156"/>
      <c r="D716" s="167"/>
      <c r="E716" s="154" t="s">
        <v>158</v>
      </c>
      <c r="F716" s="187"/>
      <c r="G716" s="39"/>
      <c r="H716" s="157" t="s">
        <v>14</v>
      </c>
      <c r="I716" s="41"/>
      <c r="J716" s="41"/>
      <c r="K716" s="42"/>
      <c r="L716" s="483">
        <f t="shared" ref="L716:N717" si="432">L719+L722</f>
        <v>0</v>
      </c>
      <c r="M716" s="80">
        <f t="shared" si="432"/>
        <v>0</v>
      </c>
      <c r="N716" s="80">
        <f t="shared" si="432"/>
        <v>0</v>
      </c>
      <c r="O716" s="80">
        <f t="shared" si="427"/>
        <v>0</v>
      </c>
      <c r="P716" s="80">
        <f t="shared" si="428"/>
        <v>0</v>
      </c>
      <c r="Q716" s="80">
        <f t="shared" ref="Q716:S717" si="433">Q719+Q722</f>
        <v>0</v>
      </c>
      <c r="R716" s="80">
        <f t="shared" si="433"/>
        <v>0</v>
      </c>
      <c r="S716" s="80">
        <f t="shared" si="433"/>
        <v>0</v>
      </c>
      <c r="T716" s="80">
        <f t="shared" si="430"/>
        <v>0</v>
      </c>
      <c r="U716" s="80">
        <f t="shared" si="431"/>
        <v>0</v>
      </c>
    </row>
    <row r="717" spans="1:21" ht="18.75" hidden="1" x14ac:dyDescent="0.25">
      <c r="A717" s="126"/>
      <c r="B717" s="156"/>
      <c r="C717" s="156"/>
      <c r="D717" s="167"/>
      <c r="E717" s="154" t="s">
        <v>159</v>
      </c>
      <c r="F717" s="187"/>
      <c r="G717" s="39"/>
      <c r="H717" s="157" t="s">
        <v>14</v>
      </c>
      <c r="I717" s="41"/>
      <c r="J717" s="41"/>
      <c r="K717" s="42"/>
      <c r="L717" s="481">
        <f t="shared" si="432"/>
        <v>0</v>
      </c>
      <c r="M717" s="230">
        <f t="shared" si="432"/>
        <v>0</v>
      </c>
      <c r="N717" s="230">
        <f t="shared" si="432"/>
        <v>0</v>
      </c>
      <c r="O717" s="230">
        <f t="shared" si="427"/>
        <v>0</v>
      </c>
      <c r="P717" s="230">
        <f t="shared" si="428"/>
        <v>0</v>
      </c>
      <c r="Q717" s="230">
        <f t="shared" si="433"/>
        <v>0</v>
      </c>
      <c r="R717" s="230">
        <f t="shared" si="433"/>
        <v>0</v>
      </c>
      <c r="S717" s="230">
        <f t="shared" si="433"/>
        <v>0</v>
      </c>
      <c r="T717" s="230">
        <f t="shared" si="430"/>
        <v>0</v>
      </c>
      <c r="U717" s="230">
        <f t="shared" si="431"/>
        <v>0</v>
      </c>
    </row>
    <row r="718" spans="1:21" ht="19.5" hidden="1" x14ac:dyDescent="0.3">
      <c r="A718" s="126"/>
      <c r="B718" s="156"/>
      <c r="C718" s="156"/>
      <c r="D718" s="550" t="s">
        <v>22</v>
      </c>
      <c r="E718" s="187"/>
      <c r="F718" s="187"/>
      <c r="G718" s="39"/>
      <c r="H718" s="384" t="s">
        <v>14</v>
      </c>
      <c r="I718" s="133"/>
      <c r="J718" s="133"/>
      <c r="K718" s="134"/>
      <c r="L718" s="481">
        <f t="shared" ref="L718:N718" si="434">L719+L720</f>
        <v>0</v>
      </c>
      <c r="M718" s="230">
        <f t="shared" si="434"/>
        <v>0</v>
      </c>
      <c r="N718" s="230">
        <f t="shared" si="434"/>
        <v>0</v>
      </c>
      <c r="O718" s="230">
        <f t="shared" si="427"/>
        <v>0</v>
      </c>
      <c r="P718" s="230">
        <f t="shared" si="428"/>
        <v>0</v>
      </c>
      <c r="Q718" s="230">
        <f t="shared" ref="Q718:S718" si="435">Q719+Q720</f>
        <v>0</v>
      </c>
      <c r="R718" s="230">
        <f t="shared" si="435"/>
        <v>0</v>
      </c>
      <c r="S718" s="230">
        <f t="shared" si="435"/>
        <v>0</v>
      </c>
      <c r="T718" s="230">
        <f t="shared" si="430"/>
        <v>0</v>
      </c>
      <c r="U718" s="230">
        <f t="shared" si="431"/>
        <v>0</v>
      </c>
    </row>
    <row r="719" spans="1:21" ht="18.75" hidden="1" x14ac:dyDescent="0.25">
      <c r="A719" s="126"/>
      <c r="B719" s="156"/>
      <c r="C719" s="156"/>
      <c r="D719" s="167"/>
      <c r="E719" s="154" t="s">
        <v>158</v>
      </c>
      <c r="F719" s="187"/>
      <c r="G719" s="39"/>
      <c r="H719" s="157" t="s">
        <v>14</v>
      </c>
      <c r="I719" s="41"/>
      <c r="J719" s="41"/>
      <c r="K719" s="42"/>
      <c r="L719" s="483">
        <v>0</v>
      </c>
      <c r="M719" s="80">
        <v>0</v>
      </c>
      <c r="N719" s="80">
        <v>0</v>
      </c>
      <c r="O719" s="80">
        <f t="shared" si="427"/>
        <v>0</v>
      </c>
      <c r="P719" s="80">
        <f t="shared" si="428"/>
        <v>0</v>
      </c>
      <c r="Q719" s="80">
        <v>0</v>
      </c>
      <c r="R719" s="80">
        <v>0</v>
      </c>
      <c r="S719" s="80">
        <v>0</v>
      </c>
      <c r="T719" s="80">
        <f t="shared" si="430"/>
        <v>0</v>
      </c>
      <c r="U719" s="80">
        <f t="shared" si="431"/>
        <v>0</v>
      </c>
    </row>
    <row r="720" spans="1:21" ht="18.75" hidden="1" x14ac:dyDescent="0.25">
      <c r="A720" s="126"/>
      <c r="B720" s="156"/>
      <c r="C720" s="156"/>
      <c r="D720" s="167"/>
      <c r="E720" s="154" t="s">
        <v>159</v>
      </c>
      <c r="F720" s="187"/>
      <c r="G720" s="39"/>
      <c r="H720" s="157" t="s">
        <v>14</v>
      </c>
      <c r="I720" s="41"/>
      <c r="J720" s="41"/>
      <c r="K720" s="42"/>
      <c r="L720" s="481">
        <v>0</v>
      </c>
      <c r="M720" s="230">
        <v>0</v>
      </c>
      <c r="N720" s="230">
        <v>0</v>
      </c>
      <c r="O720" s="230">
        <f t="shared" si="427"/>
        <v>0</v>
      </c>
      <c r="P720" s="230">
        <f t="shared" si="428"/>
        <v>0</v>
      </c>
      <c r="Q720" s="230">
        <v>0</v>
      </c>
      <c r="R720" s="230">
        <v>0</v>
      </c>
      <c r="S720" s="230">
        <v>0</v>
      </c>
      <c r="T720" s="230">
        <f t="shared" si="430"/>
        <v>0</v>
      </c>
      <c r="U720" s="230">
        <f t="shared" si="431"/>
        <v>0</v>
      </c>
    </row>
    <row r="721" spans="1:21" ht="19.5" hidden="1" x14ac:dyDescent="0.3">
      <c r="A721" s="126"/>
      <c r="B721" s="156"/>
      <c r="C721" s="156"/>
      <c r="D721" s="550" t="s">
        <v>23</v>
      </c>
      <c r="E721" s="187"/>
      <c r="F721" s="187"/>
      <c r="G721" s="39"/>
      <c r="H721" s="386" t="s">
        <v>14</v>
      </c>
      <c r="I721" s="133"/>
      <c r="J721" s="133"/>
      <c r="K721" s="134"/>
      <c r="L721" s="481">
        <f t="shared" ref="L721:N721" si="436">L722+L723</f>
        <v>0</v>
      </c>
      <c r="M721" s="230">
        <f t="shared" si="436"/>
        <v>0</v>
      </c>
      <c r="N721" s="230">
        <f t="shared" si="436"/>
        <v>0</v>
      </c>
      <c r="O721" s="230">
        <f t="shared" si="427"/>
        <v>0</v>
      </c>
      <c r="P721" s="230">
        <f t="shared" si="428"/>
        <v>0</v>
      </c>
      <c r="Q721" s="230">
        <f t="shared" ref="Q721:S721" si="437">Q722+Q723</f>
        <v>0</v>
      </c>
      <c r="R721" s="230">
        <f t="shared" si="437"/>
        <v>0</v>
      </c>
      <c r="S721" s="230">
        <f t="shared" si="437"/>
        <v>0</v>
      </c>
      <c r="T721" s="230">
        <f t="shared" si="430"/>
        <v>0</v>
      </c>
      <c r="U721" s="230">
        <f t="shared" si="431"/>
        <v>0</v>
      </c>
    </row>
    <row r="722" spans="1:21" ht="18.75" hidden="1" x14ac:dyDescent="0.25">
      <c r="A722" s="126"/>
      <c r="B722" s="156"/>
      <c r="C722" s="156"/>
      <c r="D722" s="187"/>
      <c r="E722" s="154" t="s">
        <v>20</v>
      </c>
      <c r="F722" s="187"/>
      <c r="G722" s="39"/>
      <c r="H722" s="157" t="s">
        <v>14</v>
      </c>
      <c r="I722" s="133"/>
      <c r="J722" s="133"/>
      <c r="K722" s="134"/>
      <c r="L722" s="483">
        <v>0</v>
      </c>
      <c r="M722" s="80">
        <v>0</v>
      </c>
      <c r="N722" s="80">
        <v>0</v>
      </c>
      <c r="O722" s="80">
        <f t="shared" si="427"/>
        <v>0</v>
      </c>
      <c r="P722" s="80">
        <f t="shared" si="428"/>
        <v>0</v>
      </c>
      <c r="Q722" s="80">
        <v>0</v>
      </c>
      <c r="R722" s="80">
        <v>0</v>
      </c>
      <c r="S722" s="80">
        <v>0</v>
      </c>
      <c r="T722" s="80">
        <f t="shared" si="430"/>
        <v>0</v>
      </c>
      <c r="U722" s="80">
        <f t="shared" si="431"/>
        <v>0</v>
      </c>
    </row>
    <row r="723" spans="1:21" ht="18.75" hidden="1" x14ac:dyDescent="0.25">
      <c r="A723" s="126"/>
      <c r="B723" s="156"/>
      <c r="C723" s="156"/>
      <c r="D723" s="187"/>
      <c r="E723" s="154" t="s">
        <v>21</v>
      </c>
      <c r="F723" s="187"/>
      <c r="G723" s="39"/>
      <c r="H723" s="387" t="s">
        <v>14</v>
      </c>
      <c r="I723" s="133"/>
      <c r="J723" s="133"/>
      <c r="K723" s="134"/>
      <c r="L723" s="481">
        <v>0</v>
      </c>
      <c r="M723" s="230">
        <v>0</v>
      </c>
      <c r="N723" s="230">
        <v>0</v>
      </c>
      <c r="O723" s="230">
        <f t="shared" si="427"/>
        <v>0</v>
      </c>
      <c r="P723" s="230">
        <f t="shared" si="428"/>
        <v>0</v>
      </c>
      <c r="Q723" s="230">
        <v>0</v>
      </c>
      <c r="R723" s="230">
        <v>0</v>
      </c>
      <c r="S723" s="230">
        <v>0</v>
      </c>
      <c r="T723" s="230">
        <f t="shared" si="430"/>
        <v>0</v>
      </c>
      <c r="U723" s="230">
        <f t="shared" si="431"/>
        <v>0</v>
      </c>
    </row>
    <row r="724" spans="1:21" ht="19.5" hidden="1" x14ac:dyDescent="0.3">
      <c r="A724" s="136"/>
      <c r="B724" s="137"/>
      <c r="C724" s="442" t="s">
        <v>18</v>
      </c>
      <c r="D724" s="703" t="s">
        <v>38</v>
      </c>
      <c r="E724" s="139"/>
      <c r="F724" s="139"/>
      <c r="G724" s="140"/>
      <c r="H724" s="179"/>
      <c r="I724" s="133"/>
      <c r="J724" s="133"/>
      <c r="K724" s="134"/>
      <c r="L724" s="517"/>
      <c r="M724" s="134"/>
      <c r="N724" s="134"/>
      <c r="O724" s="134"/>
      <c r="P724" s="134"/>
      <c r="Q724" s="134"/>
      <c r="R724" s="134"/>
      <c r="S724" s="134"/>
      <c r="T724" s="134"/>
      <c r="U724" s="134"/>
    </row>
    <row r="725" spans="1:21" ht="18.75" hidden="1" x14ac:dyDescent="0.25">
      <c r="A725" s="214"/>
      <c r="B725" s="156"/>
      <c r="C725" s="156"/>
      <c r="D725" s="187"/>
      <c r="E725" s="154" t="s">
        <v>267</v>
      </c>
      <c r="F725" s="187"/>
      <c r="G725" s="39"/>
      <c r="H725" s="157" t="s">
        <v>46</v>
      </c>
      <c r="I725" s="444">
        <v>0</v>
      </c>
      <c r="J725" s="41"/>
      <c r="K725" s="42"/>
      <c r="L725" s="484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1:21" ht="18.75" hidden="1" x14ac:dyDescent="0.25">
      <c r="A726" s="341"/>
      <c r="B726" s="6"/>
      <c r="C726" s="6"/>
      <c r="D726" s="5"/>
      <c r="E726" s="445" t="s">
        <v>268</v>
      </c>
      <c r="F726" s="5"/>
      <c r="G726" s="49"/>
      <c r="H726" s="446" t="s">
        <v>46</v>
      </c>
      <c r="I726" s="447">
        <v>0</v>
      </c>
      <c r="J726" s="51"/>
      <c r="K726" s="7"/>
      <c r="L726" s="485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9.5" x14ac:dyDescent="0.3">
      <c r="A727" s="406"/>
      <c r="B727" s="407" t="s">
        <v>269</v>
      </c>
      <c r="C727" s="406"/>
      <c r="D727" s="408"/>
      <c r="E727" s="408"/>
      <c r="F727" s="408"/>
      <c r="G727" s="409"/>
      <c r="H727" s="448" t="s">
        <v>35</v>
      </c>
      <c r="I727" s="700">
        <f ca="1">IFERROR(__xludf.DUMMYFUNCTION("IMPORTRANGE(""https://docs.google.com/spreadsheets/d/1eHaY18a8A9IcSdp1K8H6x8fbOy06t2VsZHhMHf-1x7Y/edit?usp=sharing"",""แผน!GA21"")"),31)</f>
        <v>31</v>
      </c>
      <c r="J727" s="700">
        <f>J743+J747+J750</f>
        <v>0</v>
      </c>
      <c r="K727" s="701">
        <f t="shared" ref="K727:K728" ca="1" si="438">IF(I727&gt;0,J727*100/I727,0)</f>
        <v>0</v>
      </c>
      <c r="L727" s="690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450"/>
      <c r="B728" s="406"/>
      <c r="C728" s="406"/>
      <c r="D728" s="408"/>
      <c r="E728" s="408"/>
      <c r="F728" s="408"/>
      <c r="G728" s="409"/>
      <c r="H728" s="448" t="s">
        <v>46</v>
      </c>
      <c r="I728" s="700">
        <f ca="1">IFERROR(__xludf.DUMMYFUNCTION("IMPORTRANGE(""https://docs.google.com/spreadsheets/d/1eHaY18a8A9IcSdp1K8H6x8fbOy06t2VsZHhMHf-1x7Y/edit?usp=sharing"",""แผน!FZ21"")"),300)</f>
        <v>300</v>
      </c>
      <c r="J728" s="700">
        <f>J753+J756</f>
        <v>0</v>
      </c>
      <c r="K728" s="701">
        <f t="shared" ca="1" si="438"/>
        <v>0</v>
      </c>
      <c r="L728" s="690"/>
      <c r="M728" s="412"/>
      <c r="N728" s="412"/>
      <c r="O728" s="412"/>
      <c r="P728" s="412"/>
      <c r="Q728" s="412"/>
      <c r="R728" s="412"/>
      <c r="S728" s="412"/>
      <c r="T728" s="412"/>
      <c r="U728" s="412"/>
    </row>
    <row r="729" spans="1:21" ht="19.5" x14ac:dyDescent="0.3">
      <c r="A729" s="126"/>
      <c r="B729" s="156"/>
      <c r="C729" s="178" t="s">
        <v>18</v>
      </c>
      <c r="D729" s="830" t="s">
        <v>19</v>
      </c>
      <c r="E729" s="812"/>
      <c r="F729" s="812"/>
      <c r="G729" s="813"/>
      <c r="H729" s="227" t="s">
        <v>14</v>
      </c>
      <c r="I729" s="41"/>
      <c r="J729" s="41"/>
      <c r="K729" s="42"/>
      <c r="L729" s="514">
        <f t="shared" ref="L729:N729" si="439">L730+L731</f>
        <v>0</v>
      </c>
      <c r="M729" s="515">
        <f t="shared" si="439"/>
        <v>0</v>
      </c>
      <c r="N729" s="515">
        <f t="shared" si="439"/>
        <v>0</v>
      </c>
      <c r="O729" s="515">
        <f t="shared" ref="O729:O737" si="440">IF(L729&gt;0,N729*100/L729,0)</f>
        <v>0</v>
      </c>
      <c r="P729" s="515">
        <f t="shared" ref="P729:P737" si="441">IF(M729&gt;0,N729*100/M729,0)</f>
        <v>0</v>
      </c>
      <c r="Q729" s="515">
        <f t="shared" ref="Q729:S729" ca="1" si="442">Q730+Q731</f>
        <v>242546</v>
      </c>
      <c r="R729" s="515">
        <f t="shared" ca="1" si="442"/>
        <v>242546</v>
      </c>
      <c r="S729" s="515">
        <f t="shared" ca="1" si="442"/>
        <v>0</v>
      </c>
      <c r="T729" s="515">
        <f t="shared" ref="T729:T737" ca="1" si="443">IF(Q729&gt;0,S729*100/Q729,0)</f>
        <v>0</v>
      </c>
      <c r="U729" s="515">
        <f t="shared" ref="U729:U737" ca="1" si="444">IF(R729&gt;0,S729*100/R729,0)</f>
        <v>0</v>
      </c>
    </row>
    <row r="730" spans="1:21" ht="18.75" hidden="1" x14ac:dyDescent="0.25">
      <c r="A730" s="126"/>
      <c r="B730" s="156"/>
      <c r="C730" s="156"/>
      <c r="D730" s="167"/>
      <c r="E730" s="154" t="s">
        <v>158</v>
      </c>
      <c r="F730" s="187"/>
      <c r="G730" s="39"/>
      <c r="H730" s="157" t="s">
        <v>14</v>
      </c>
      <c r="I730" s="41"/>
      <c r="J730" s="41"/>
      <c r="K730" s="42"/>
      <c r="L730" s="483">
        <f t="shared" ref="L730:N731" si="445">L733+L736</f>
        <v>0</v>
      </c>
      <c r="M730" s="80">
        <f t="shared" si="445"/>
        <v>0</v>
      </c>
      <c r="N730" s="80">
        <f t="shared" si="445"/>
        <v>0</v>
      </c>
      <c r="O730" s="80">
        <f t="shared" si="440"/>
        <v>0</v>
      </c>
      <c r="P730" s="80">
        <f t="shared" si="441"/>
        <v>0</v>
      </c>
      <c r="Q730" s="80">
        <f t="shared" ref="Q730:S731" si="446">Q733+Q736</f>
        <v>0</v>
      </c>
      <c r="R730" s="80">
        <f t="shared" si="446"/>
        <v>0</v>
      </c>
      <c r="S730" s="80">
        <f t="shared" si="446"/>
        <v>0</v>
      </c>
      <c r="T730" s="80">
        <f t="shared" si="443"/>
        <v>0</v>
      </c>
      <c r="U730" s="80">
        <f t="shared" si="444"/>
        <v>0</v>
      </c>
    </row>
    <row r="731" spans="1:21" ht="31.5" hidden="1" customHeight="1" x14ac:dyDescent="0.25">
      <c r="A731" s="126"/>
      <c r="B731" s="156"/>
      <c r="C731" s="156"/>
      <c r="D731" s="167"/>
      <c r="E731" s="254" t="s">
        <v>159</v>
      </c>
      <c r="F731" s="187"/>
      <c r="G731" s="39"/>
      <c r="H731" s="132" t="s">
        <v>14</v>
      </c>
      <c r="I731" s="41"/>
      <c r="J731" s="41"/>
      <c r="K731" s="42"/>
      <c r="L731" s="481">
        <f t="shared" si="445"/>
        <v>0</v>
      </c>
      <c r="M731" s="230">
        <f t="shared" si="445"/>
        <v>0</v>
      </c>
      <c r="N731" s="230">
        <f t="shared" si="445"/>
        <v>0</v>
      </c>
      <c r="O731" s="230">
        <f t="shared" si="440"/>
        <v>0</v>
      </c>
      <c r="P731" s="230">
        <f t="shared" si="441"/>
        <v>0</v>
      </c>
      <c r="Q731" s="230">
        <f t="shared" ca="1" si="446"/>
        <v>242546</v>
      </c>
      <c r="R731" s="230">
        <f t="shared" ca="1" si="446"/>
        <v>242546</v>
      </c>
      <c r="S731" s="230">
        <f t="shared" ca="1" si="446"/>
        <v>0</v>
      </c>
      <c r="T731" s="230">
        <f t="shared" ca="1" si="443"/>
        <v>0</v>
      </c>
      <c r="U731" s="230">
        <f t="shared" ca="1" si="444"/>
        <v>0</v>
      </c>
    </row>
    <row r="732" spans="1:21" ht="18.75" x14ac:dyDescent="0.25">
      <c r="A732" s="126"/>
      <c r="B732" s="156"/>
      <c r="C732" s="156"/>
      <c r="D732" s="38" t="s">
        <v>22</v>
      </c>
      <c r="E732" s="187"/>
      <c r="F732" s="187"/>
      <c r="G732" s="39"/>
      <c r="H732" s="132" t="s">
        <v>14</v>
      </c>
      <c r="I732" s="133"/>
      <c r="J732" s="133"/>
      <c r="K732" s="134"/>
      <c r="L732" s="481">
        <f t="shared" ref="L732:N732" si="447">L733+L734</f>
        <v>0</v>
      </c>
      <c r="M732" s="230">
        <f t="shared" si="447"/>
        <v>0</v>
      </c>
      <c r="N732" s="230">
        <f t="shared" si="447"/>
        <v>0</v>
      </c>
      <c r="O732" s="230">
        <f t="shared" si="440"/>
        <v>0</v>
      </c>
      <c r="P732" s="230">
        <f t="shared" si="441"/>
        <v>0</v>
      </c>
      <c r="Q732" s="230">
        <f t="shared" ref="Q732:S732" ca="1" si="448">Q733+Q734</f>
        <v>242546</v>
      </c>
      <c r="R732" s="230">
        <f t="shared" ca="1" si="448"/>
        <v>242546</v>
      </c>
      <c r="S732" s="230">
        <f t="shared" ca="1" si="448"/>
        <v>0</v>
      </c>
      <c r="T732" s="230">
        <f t="shared" ca="1" si="443"/>
        <v>0</v>
      </c>
      <c r="U732" s="230">
        <f t="shared" ca="1" si="444"/>
        <v>0</v>
      </c>
    </row>
    <row r="733" spans="1:21" ht="18.75" hidden="1" x14ac:dyDescent="0.25">
      <c r="A733" s="126"/>
      <c r="B733" s="156"/>
      <c r="C733" s="156"/>
      <c r="D733" s="167"/>
      <c r="E733" s="154" t="s">
        <v>158</v>
      </c>
      <c r="F733" s="187"/>
      <c r="G733" s="39"/>
      <c r="H733" s="157" t="s">
        <v>14</v>
      </c>
      <c r="I733" s="41"/>
      <c r="J733" s="41"/>
      <c r="K733" s="42"/>
      <c r="L733" s="483">
        <v>0</v>
      </c>
      <c r="M733" s="80">
        <v>0</v>
      </c>
      <c r="N733" s="80">
        <v>0</v>
      </c>
      <c r="O733" s="80">
        <f t="shared" si="440"/>
        <v>0</v>
      </c>
      <c r="P733" s="80">
        <f t="shared" si="441"/>
        <v>0</v>
      </c>
      <c r="Q733" s="80">
        <v>0</v>
      </c>
      <c r="R733" s="80">
        <v>0</v>
      </c>
      <c r="S733" s="80">
        <v>0</v>
      </c>
      <c r="T733" s="80">
        <f t="shared" si="443"/>
        <v>0</v>
      </c>
      <c r="U733" s="80">
        <f t="shared" si="444"/>
        <v>0</v>
      </c>
    </row>
    <row r="734" spans="1:21" ht="18.75" hidden="1" x14ac:dyDescent="0.25">
      <c r="A734" s="126"/>
      <c r="B734" s="156"/>
      <c r="C734" s="156"/>
      <c r="D734" s="167"/>
      <c r="E734" s="254" t="s">
        <v>159</v>
      </c>
      <c r="F734" s="187"/>
      <c r="G734" s="39"/>
      <c r="H734" s="132" t="s">
        <v>14</v>
      </c>
      <c r="I734" s="41"/>
      <c r="J734" s="41"/>
      <c r="K734" s="42"/>
      <c r="L734" s="481">
        <v>0</v>
      </c>
      <c r="M734" s="230">
        <v>0</v>
      </c>
      <c r="N734" s="230">
        <v>0</v>
      </c>
      <c r="O734" s="230">
        <f t="shared" si="440"/>
        <v>0</v>
      </c>
      <c r="P734" s="230">
        <f t="shared" si="441"/>
        <v>0</v>
      </c>
      <c r="Q734" s="230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4" s="230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4" s="230">
        <f ca="1">IFERROR(__xludf.DUMMYFUNCTION("IMPORTRANGE(""https://docs.google.com/spreadsheets/d/1ItG2mGa2ceCfYo0BwxsXqNm01IGEUdYcSSLTEv9YCik/edit?usp=sharing"",""เบิกจ่ายกองทุน!Q21"")"),0)</f>
        <v>0</v>
      </c>
      <c r="T734" s="230">
        <f t="shared" ca="1" si="443"/>
        <v>0</v>
      </c>
      <c r="U734" s="230">
        <f t="shared" ca="1" si="444"/>
        <v>0</v>
      </c>
    </row>
    <row r="735" spans="1:21" ht="18.75" x14ac:dyDescent="0.25">
      <c r="A735" s="126"/>
      <c r="B735" s="156"/>
      <c r="C735" s="156"/>
      <c r="D735" s="38" t="s">
        <v>23</v>
      </c>
      <c r="E735" s="156"/>
      <c r="F735" s="156"/>
      <c r="G735" s="39"/>
      <c r="H735" s="135" t="s">
        <v>14</v>
      </c>
      <c r="I735" s="133"/>
      <c r="J735" s="133"/>
      <c r="K735" s="134"/>
      <c r="L735" s="481">
        <f t="shared" ref="L735:N735" si="449">L736+L737</f>
        <v>0</v>
      </c>
      <c r="M735" s="230">
        <f t="shared" si="449"/>
        <v>0</v>
      </c>
      <c r="N735" s="230">
        <f t="shared" si="449"/>
        <v>0</v>
      </c>
      <c r="O735" s="230">
        <f t="shared" si="440"/>
        <v>0</v>
      </c>
      <c r="P735" s="230">
        <f t="shared" si="441"/>
        <v>0</v>
      </c>
      <c r="Q735" s="230">
        <f t="shared" ref="Q735:S735" si="450">Q736+Q737</f>
        <v>0</v>
      </c>
      <c r="R735" s="230">
        <f t="shared" si="450"/>
        <v>0</v>
      </c>
      <c r="S735" s="230">
        <f t="shared" si="450"/>
        <v>0</v>
      </c>
      <c r="T735" s="230">
        <f t="shared" si="443"/>
        <v>0</v>
      </c>
      <c r="U735" s="230">
        <f t="shared" si="444"/>
        <v>0</v>
      </c>
    </row>
    <row r="736" spans="1:21" ht="18.75" hidden="1" x14ac:dyDescent="0.25">
      <c r="A736" s="126"/>
      <c r="B736" s="156"/>
      <c r="C736" s="156"/>
      <c r="D736" s="156"/>
      <c r="E736" s="442" t="s">
        <v>20</v>
      </c>
      <c r="F736" s="156"/>
      <c r="G736" s="39"/>
      <c r="H736" s="157" t="s">
        <v>14</v>
      </c>
      <c r="I736" s="133"/>
      <c r="J736" s="133"/>
      <c r="K736" s="134"/>
      <c r="L736" s="483">
        <v>0</v>
      </c>
      <c r="M736" s="80">
        <v>0</v>
      </c>
      <c r="N736" s="80">
        <v>0</v>
      </c>
      <c r="O736" s="80">
        <f t="shared" si="440"/>
        <v>0</v>
      </c>
      <c r="P736" s="80">
        <f t="shared" si="441"/>
        <v>0</v>
      </c>
      <c r="Q736" s="80">
        <v>0</v>
      </c>
      <c r="R736" s="80">
        <v>0</v>
      </c>
      <c r="S736" s="80">
        <v>0</v>
      </c>
      <c r="T736" s="80">
        <f t="shared" si="443"/>
        <v>0</v>
      </c>
      <c r="U736" s="80">
        <f t="shared" si="444"/>
        <v>0</v>
      </c>
    </row>
    <row r="737" spans="1:21" ht="18.75" hidden="1" x14ac:dyDescent="0.25">
      <c r="A737" s="126"/>
      <c r="B737" s="156"/>
      <c r="C737" s="156"/>
      <c r="D737" s="156"/>
      <c r="E737" s="426" t="s">
        <v>21</v>
      </c>
      <c r="F737" s="156"/>
      <c r="G737" s="39"/>
      <c r="H737" s="135" t="s">
        <v>14</v>
      </c>
      <c r="I737" s="133"/>
      <c r="J737" s="133"/>
      <c r="K737" s="134"/>
      <c r="L737" s="481">
        <v>0</v>
      </c>
      <c r="M737" s="230">
        <v>0</v>
      </c>
      <c r="N737" s="230">
        <v>0</v>
      </c>
      <c r="O737" s="230">
        <f t="shared" si="440"/>
        <v>0</v>
      </c>
      <c r="P737" s="230">
        <f t="shared" si="441"/>
        <v>0</v>
      </c>
      <c r="Q737" s="230">
        <v>0</v>
      </c>
      <c r="R737" s="230">
        <v>0</v>
      </c>
      <c r="S737" s="230">
        <v>0</v>
      </c>
      <c r="T737" s="230">
        <f t="shared" si="443"/>
        <v>0</v>
      </c>
      <c r="U737" s="230">
        <f t="shared" si="444"/>
        <v>0</v>
      </c>
    </row>
    <row r="738" spans="1:21" ht="19.5" x14ac:dyDescent="0.3">
      <c r="A738" s="136"/>
      <c r="B738" s="137"/>
      <c r="C738" s="178" t="s">
        <v>18</v>
      </c>
      <c r="D738" s="657" t="s">
        <v>38</v>
      </c>
      <c r="E738" s="209"/>
      <c r="F738" s="139"/>
      <c r="G738" s="140"/>
      <c r="H738" s="179"/>
      <c r="I738" s="41"/>
      <c r="J738" s="41"/>
      <c r="K738" s="42"/>
      <c r="L738" s="484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1:21" ht="19.5" x14ac:dyDescent="0.3">
      <c r="A739" s="136"/>
      <c r="B739" s="137"/>
      <c r="C739" s="137"/>
      <c r="D739" s="451" t="s">
        <v>121</v>
      </c>
      <c r="E739" s="137"/>
      <c r="F739" s="137"/>
      <c r="G739" s="141"/>
      <c r="H739" s="181"/>
      <c r="I739" s="41"/>
      <c r="J739" s="41"/>
      <c r="K739" s="42"/>
      <c r="L739" s="484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1:21" ht="18.75" x14ac:dyDescent="0.25">
      <c r="A740" s="136"/>
      <c r="B740" s="137"/>
      <c r="C740" s="137"/>
      <c r="D740" s="137"/>
      <c r="E740" s="422" t="s">
        <v>270</v>
      </c>
      <c r="F740" s="137"/>
      <c r="G740" s="141"/>
      <c r="H740" s="181"/>
      <c r="I740" s="41"/>
      <c r="J740" s="41"/>
      <c r="K740" s="42"/>
      <c r="L740" s="484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1:21" ht="18.75" x14ac:dyDescent="0.25">
      <c r="A741" s="600"/>
      <c r="B741" s="601"/>
      <c r="C741" s="601"/>
      <c r="D741" s="601"/>
      <c r="E741" s="601"/>
      <c r="F741" s="704" t="s">
        <v>271</v>
      </c>
      <c r="G741" s="603"/>
      <c r="H741" s="590" t="s">
        <v>46</v>
      </c>
      <c r="I741" s="661">
        <f ca="1">IFERROR(__xludf.DUMMYFUNCTION("IMPORTRANGE(""https://docs.google.com/spreadsheets/d/1eHaY18a8A9IcSdp1K8H6x8fbOy06t2VsZHhMHf-1x7Y/edit?usp=sharing"",""แผน!GB21"")"),240)</f>
        <v>240</v>
      </c>
      <c r="J741" s="705">
        <v>0</v>
      </c>
      <c r="K741" s="592">
        <f ca="1">IF(I741&gt;0,J741*100/I741,0)</f>
        <v>0</v>
      </c>
      <c r="L741" s="706"/>
      <c r="M741" s="581"/>
      <c r="N741" s="581"/>
      <c r="O741" s="581"/>
      <c r="P741" s="581"/>
      <c r="Q741" s="581"/>
      <c r="R741" s="581"/>
      <c r="S741" s="581"/>
      <c r="T741" s="581"/>
      <c r="U741" s="581"/>
    </row>
    <row r="742" spans="1:21" ht="18.75" x14ac:dyDescent="0.25">
      <c r="A742" s="600"/>
      <c r="B742" s="601"/>
      <c r="C742" s="601"/>
      <c r="D742" s="601"/>
      <c r="E742" s="601"/>
      <c r="F742" s="704" t="s">
        <v>300</v>
      </c>
      <c r="G742" s="603"/>
      <c r="H742" s="590" t="s">
        <v>35</v>
      </c>
      <c r="I742" s="580"/>
      <c r="J742" s="705">
        <v>0</v>
      </c>
      <c r="K742" s="581"/>
      <c r="L742" s="706"/>
      <c r="M742" s="581"/>
      <c r="N742" s="581"/>
      <c r="O742" s="581"/>
      <c r="P742" s="581"/>
      <c r="Q742" s="581"/>
      <c r="R742" s="581"/>
      <c r="S742" s="581"/>
      <c r="T742" s="581"/>
      <c r="U742" s="581"/>
    </row>
    <row r="743" spans="1:21" ht="18.75" x14ac:dyDescent="0.25">
      <c r="A743" s="600"/>
      <c r="B743" s="601"/>
      <c r="C743" s="601"/>
      <c r="D743" s="601"/>
      <c r="E743" s="601"/>
      <c r="F743" s="704" t="s">
        <v>301</v>
      </c>
      <c r="G743" s="603"/>
      <c r="H743" s="590" t="s">
        <v>35</v>
      </c>
      <c r="I743" s="661">
        <f ca="1">IFERROR(__xludf.DUMMYFUNCTION("IMPORTRANGE(""https://docs.google.com/spreadsheets/d/1eHaY18a8A9IcSdp1K8H6x8fbOy06t2VsZHhMHf-1x7Y/edit?usp=sharing"",""แผน!GC21"")"),24)</f>
        <v>24</v>
      </c>
      <c r="J743" s="705">
        <v>0</v>
      </c>
      <c r="K743" s="592">
        <f ca="1">IF(I743&gt;0,J743*100/I743,0)</f>
        <v>0</v>
      </c>
      <c r="L743" s="706"/>
      <c r="M743" s="581"/>
      <c r="N743" s="581"/>
      <c r="O743" s="581"/>
      <c r="P743" s="581"/>
      <c r="Q743" s="581"/>
      <c r="R743" s="581"/>
      <c r="S743" s="581"/>
      <c r="T743" s="581"/>
      <c r="U743" s="581"/>
    </row>
    <row r="744" spans="1:21" ht="18.75" x14ac:dyDescent="0.25">
      <c r="A744" s="600"/>
      <c r="B744" s="601"/>
      <c r="C744" s="601"/>
      <c r="D744" s="601"/>
      <c r="E744" s="704" t="s">
        <v>274</v>
      </c>
      <c r="F744" s="601"/>
      <c r="G744" s="603"/>
      <c r="H744" s="660"/>
      <c r="I744" s="580"/>
      <c r="J744" s="580"/>
      <c r="K744" s="581"/>
      <c r="L744" s="706"/>
      <c r="M744" s="581"/>
      <c r="N744" s="581"/>
      <c r="O744" s="581"/>
      <c r="P744" s="581"/>
      <c r="Q744" s="581"/>
      <c r="R744" s="581"/>
      <c r="S744" s="581"/>
      <c r="T744" s="581"/>
      <c r="U744" s="581"/>
    </row>
    <row r="745" spans="1:21" ht="18.75" x14ac:dyDescent="0.25">
      <c r="A745" s="600"/>
      <c r="B745" s="601"/>
      <c r="C745" s="601"/>
      <c r="D745" s="601"/>
      <c r="E745" s="601"/>
      <c r="F745" s="704" t="s">
        <v>271</v>
      </c>
      <c r="G745" s="603"/>
      <c r="H745" s="590" t="s">
        <v>46</v>
      </c>
      <c r="I745" s="661">
        <f ca="1">IFERROR(__xludf.DUMMYFUNCTION("IMPORTRANGE(""https://docs.google.com/spreadsheets/d/1eHaY18a8A9IcSdp1K8H6x8fbOy06t2VsZHhMHf-1x7Y/edit?usp=sharing"",""แผน!GD21"")"),60)</f>
        <v>60</v>
      </c>
      <c r="J745" s="705">
        <v>0</v>
      </c>
      <c r="K745" s="592">
        <f ca="1">IF(I745&gt;0,J745*100/I745,0)</f>
        <v>0</v>
      </c>
      <c r="L745" s="706"/>
      <c r="M745" s="581"/>
      <c r="N745" s="581"/>
      <c r="O745" s="581"/>
      <c r="P745" s="581"/>
      <c r="Q745" s="581"/>
      <c r="R745" s="581"/>
      <c r="S745" s="581"/>
      <c r="T745" s="581"/>
      <c r="U745" s="581"/>
    </row>
    <row r="746" spans="1:21" ht="18.75" x14ac:dyDescent="0.25">
      <c r="A746" s="600"/>
      <c r="B746" s="601"/>
      <c r="C746" s="601"/>
      <c r="D746" s="601"/>
      <c r="E746" s="601"/>
      <c r="F746" s="704" t="s">
        <v>302</v>
      </c>
      <c r="G746" s="603"/>
      <c r="H746" s="590" t="s">
        <v>35</v>
      </c>
      <c r="I746" s="580"/>
      <c r="J746" s="705">
        <v>0</v>
      </c>
      <c r="K746" s="581"/>
      <c r="L746" s="706"/>
      <c r="M746" s="581"/>
      <c r="N746" s="581"/>
      <c r="O746" s="581"/>
      <c r="P746" s="581"/>
      <c r="Q746" s="581"/>
      <c r="R746" s="581"/>
      <c r="S746" s="581"/>
      <c r="T746" s="581"/>
      <c r="U746" s="581"/>
    </row>
    <row r="747" spans="1:21" ht="18.75" x14ac:dyDescent="0.25">
      <c r="A747" s="600"/>
      <c r="B747" s="601"/>
      <c r="C747" s="601"/>
      <c r="D747" s="601"/>
      <c r="E747" s="601"/>
      <c r="F747" s="704" t="s">
        <v>303</v>
      </c>
      <c r="G747" s="603"/>
      <c r="H747" s="590" t="s">
        <v>35</v>
      </c>
      <c r="I747" s="661">
        <f ca="1">IFERROR(__xludf.DUMMYFUNCTION("IMPORTRANGE(""https://docs.google.com/spreadsheets/d/1eHaY18a8A9IcSdp1K8H6x8fbOy06t2VsZHhMHf-1x7Y/edit?usp=sharing"",""แผน!GE21"")"),6)</f>
        <v>6</v>
      </c>
      <c r="J747" s="705">
        <v>0</v>
      </c>
      <c r="K747" s="592">
        <f ca="1">IF(I747&gt;0,J747*100/I747,0)</f>
        <v>0</v>
      </c>
      <c r="L747" s="706"/>
      <c r="M747" s="581"/>
      <c r="N747" s="581"/>
      <c r="O747" s="581"/>
      <c r="P747" s="581"/>
      <c r="Q747" s="581"/>
      <c r="R747" s="581"/>
      <c r="S747" s="581"/>
      <c r="T747" s="581"/>
      <c r="U747" s="581"/>
    </row>
    <row r="748" spans="1:21" ht="18.75" x14ac:dyDescent="0.25">
      <c r="A748" s="600"/>
      <c r="B748" s="601"/>
      <c r="C748" s="601"/>
      <c r="D748" s="601"/>
      <c r="E748" s="704" t="s">
        <v>277</v>
      </c>
      <c r="F748" s="707"/>
      <c r="G748" s="603"/>
      <c r="H748" s="660"/>
      <c r="I748" s="580"/>
      <c r="J748" s="580"/>
      <c r="K748" s="581"/>
      <c r="L748" s="706"/>
      <c r="M748" s="581"/>
      <c r="N748" s="581"/>
      <c r="O748" s="581"/>
      <c r="P748" s="581"/>
      <c r="Q748" s="581"/>
      <c r="R748" s="581"/>
      <c r="S748" s="581"/>
      <c r="T748" s="581"/>
      <c r="U748" s="581"/>
    </row>
    <row r="749" spans="1:21" ht="18.75" x14ac:dyDescent="0.25">
      <c r="A749" s="600"/>
      <c r="B749" s="601"/>
      <c r="C749" s="601"/>
      <c r="D749" s="601"/>
      <c r="E749" s="601"/>
      <c r="F749" s="704" t="s">
        <v>304</v>
      </c>
      <c r="G749" s="603"/>
      <c r="H749" s="590" t="s">
        <v>35</v>
      </c>
      <c r="I749" s="580"/>
      <c r="J749" s="705">
        <v>0</v>
      </c>
      <c r="K749" s="581"/>
      <c r="L749" s="706"/>
      <c r="M749" s="581"/>
      <c r="N749" s="581"/>
      <c r="O749" s="581"/>
      <c r="P749" s="581"/>
      <c r="Q749" s="581"/>
      <c r="R749" s="581"/>
      <c r="S749" s="581"/>
      <c r="T749" s="581"/>
      <c r="U749" s="581"/>
    </row>
    <row r="750" spans="1:21" ht="18.75" x14ac:dyDescent="0.25">
      <c r="A750" s="600"/>
      <c r="B750" s="601"/>
      <c r="C750" s="601"/>
      <c r="D750" s="601"/>
      <c r="E750" s="601"/>
      <c r="F750" s="704" t="s">
        <v>305</v>
      </c>
      <c r="G750" s="603"/>
      <c r="H750" s="590" t="s">
        <v>35</v>
      </c>
      <c r="I750" s="661">
        <f ca="1">IFERROR(__xludf.DUMMYFUNCTION("IMPORTRANGE(""https://docs.google.com/spreadsheets/d/1eHaY18a8A9IcSdp1K8H6x8fbOy06t2VsZHhMHf-1x7Y/edit?usp=sharing"",""แผน!GF21"")"),1)</f>
        <v>1</v>
      </c>
      <c r="J750" s="705">
        <v>0</v>
      </c>
      <c r="K750" s="592">
        <f ca="1">IF(I750&gt;0,J750*100/I750,0)</f>
        <v>0</v>
      </c>
      <c r="L750" s="706"/>
      <c r="M750" s="581"/>
      <c r="N750" s="581"/>
      <c r="O750" s="581"/>
      <c r="P750" s="581"/>
      <c r="Q750" s="581"/>
      <c r="R750" s="581"/>
      <c r="S750" s="581"/>
      <c r="T750" s="581"/>
      <c r="U750" s="581"/>
    </row>
    <row r="751" spans="1:21" ht="19.5" x14ac:dyDescent="0.3">
      <c r="A751" s="600"/>
      <c r="B751" s="601"/>
      <c r="C751" s="601"/>
      <c r="D751" s="708" t="s">
        <v>50</v>
      </c>
      <c r="E751" s="601"/>
      <c r="F751" s="707"/>
      <c r="G751" s="603"/>
      <c r="H751" s="660"/>
      <c r="I751" s="580"/>
      <c r="J751" s="580"/>
      <c r="K751" s="581"/>
      <c r="L751" s="706"/>
      <c r="M751" s="581"/>
      <c r="N751" s="581"/>
      <c r="O751" s="581"/>
      <c r="P751" s="581"/>
      <c r="Q751" s="581"/>
      <c r="R751" s="581"/>
      <c r="S751" s="581"/>
      <c r="T751" s="581"/>
      <c r="U751" s="581"/>
    </row>
    <row r="752" spans="1:21" ht="18.75" x14ac:dyDescent="0.25">
      <c r="A752" s="600"/>
      <c r="B752" s="601"/>
      <c r="C752" s="601"/>
      <c r="D752" s="601"/>
      <c r="E752" s="704" t="s">
        <v>270</v>
      </c>
      <c r="F752" s="707"/>
      <c r="G752" s="603"/>
      <c r="H752" s="660"/>
      <c r="I752" s="580"/>
      <c r="J752" s="580"/>
      <c r="K752" s="581"/>
      <c r="L752" s="706"/>
      <c r="M752" s="581"/>
      <c r="N752" s="581"/>
      <c r="O752" s="581"/>
      <c r="P752" s="581"/>
      <c r="Q752" s="581"/>
      <c r="R752" s="581"/>
      <c r="S752" s="581"/>
      <c r="T752" s="581"/>
      <c r="U752" s="581"/>
    </row>
    <row r="753" spans="1:21" ht="18.75" x14ac:dyDescent="0.25">
      <c r="A753" s="600"/>
      <c r="B753" s="601"/>
      <c r="C753" s="601"/>
      <c r="D753" s="601"/>
      <c r="E753" s="601"/>
      <c r="F753" s="709" t="s">
        <v>306</v>
      </c>
      <c r="G753" s="603"/>
      <c r="H753" s="590" t="s">
        <v>46</v>
      </c>
      <c r="I753" s="661">
        <f ca="1">IFERROR(__xludf.DUMMYFUNCTION("IMPORTRANGE(""https://docs.google.com/spreadsheets/d/1eHaY18a8A9IcSdp1K8H6x8fbOy06t2VsZHhMHf-1x7Y/edit?usp=sharing"",""แผน!GC21"")"),24)</f>
        <v>24</v>
      </c>
      <c r="J753" s="705">
        <v>0</v>
      </c>
      <c r="K753" s="592">
        <f ca="1">IF(I753&gt;0,J753*100/I753,0)</f>
        <v>0</v>
      </c>
      <c r="L753" s="706"/>
      <c r="M753" s="581"/>
      <c r="N753" s="581"/>
      <c r="O753" s="581"/>
      <c r="P753" s="581"/>
      <c r="Q753" s="581"/>
      <c r="R753" s="581"/>
      <c r="S753" s="581"/>
      <c r="T753" s="581"/>
      <c r="U753" s="581"/>
    </row>
    <row r="754" spans="1:21" ht="18.75" x14ac:dyDescent="0.25">
      <c r="A754" s="600"/>
      <c r="B754" s="601"/>
      <c r="C754" s="601"/>
      <c r="D754" s="601"/>
      <c r="E754" s="601"/>
      <c r="F754" s="709" t="s">
        <v>307</v>
      </c>
      <c r="G754" s="603"/>
      <c r="H754" s="590" t="s">
        <v>46</v>
      </c>
      <c r="I754" s="580"/>
      <c r="J754" s="705">
        <v>0</v>
      </c>
      <c r="K754" s="581"/>
      <c r="L754" s="706"/>
      <c r="M754" s="581"/>
      <c r="N754" s="581"/>
      <c r="O754" s="581"/>
      <c r="P754" s="581"/>
      <c r="Q754" s="581"/>
      <c r="R754" s="581"/>
      <c r="S754" s="581"/>
      <c r="T754" s="581"/>
      <c r="U754" s="581"/>
    </row>
    <row r="755" spans="1:21" ht="18.75" x14ac:dyDescent="0.25">
      <c r="A755" s="600"/>
      <c r="B755" s="601"/>
      <c r="C755" s="601"/>
      <c r="D755" s="601"/>
      <c r="E755" s="704" t="s">
        <v>274</v>
      </c>
      <c r="F755" s="707"/>
      <c r="G755" s="603"/>
      <c r="H755" s="660"/>
      <c r="I755" s="580"/>
      <c r="J755" s="580"/>
      <c r="K755" s="581"/>
      <c r="L755" s="706"/>
      <c r="M755" s="581"/>
      <c r="N755" s="581"/>
      <c r="O755" s="581"/>
      <c r="P755" s="581"/>
      <c r="Q755" s="581"/>
      <c r="R755" s="581"/>
      <c r="S755" s="581"/>
      <c r="T755" s="581"/>
      <c r="U755" s="581"/>
    </row>
    <row r="756" spans="1:21" ht="18.75" x14ac:dyDescent="0.25">
      <c r="A756" s="600"/>
      <c r="B756" s="601"/>
      <c r="C756" s="601"/>
      <c r="D756" s="601"/>
      <c r="E756" s="707"/>
      <c r="F756" s="709" t="s">
        <v>308</v>
      </c>
      <c r="G756" s="603"/>
      <c r="H756" s="590" t="s">
        <v>46</v>
      </c>
      <c r="I756" s="661">
        <f ca="1">IFERROR(__xludf.DUMMYFUNCTION("IMPORTRANGE(""https://docs.google.com/spreadsheets/d/1eHaY18a8A9IcSdp1K8H6x8fbOy06t2VsZHhMHf-1x7Y/edit?usp=sharing"",""แผน!GE21"")"),6)</f>
        <v>6</v>
      </c>
      <c r="J756" s="705">
        <v>0</v>
      </c>
      <c r="K756" s="592">
        <f ca="1">IF(I756&gt;0,J756*100/I756,0)</f>
        <v>0</v>
      </c>
      <c r="L756" s="706"/>
      <c r="M756" s="581"/>
      <c r="N756" s="581"/>
      <c r="O756" s="581"/>
      <c r="P756" s="581"/>
      <c r="Q756" s="581"/>
      <c r="R756" s="581"/>
      <c r="S756" s="581"/>
      <c r="T756" s="581"/>
      <c r="U756" s="581"/>
    </row>
    <row r="757" spans="1:21" ht="18.75" x14ac:dyDescent="0.25">
      <c r="A757" s="600"/>
      <c r="B757" s="601"/>
      <c r="C757" s="601"/>
      <c r="D757" s="601"/>
      <c r="E757" s="707"/>
      <c r="F757" s="709" t="s">
        <v>309</v>
      </c>
      <c r="G757" s="603"/>
      <c r="H757" s="590" t="s">
        <v>46</v>
      </c>
      <c r="I757" s="580"/>
      <c r="J757" s="705">
        <v>0</v>
      </c>
      <c r="K757" s="581"/>
      <c r="L757" s="706"/>
      <c r="M757" s="581"/>
      <c r="N757" s="581"/>
      <c r="O757" s="581"/>
      <c r="P757" s="581"/>
      <c r="Q757" s="581"/>
      <c r="R757" s="581"/>
      <c r="S757" s="581"/>
      <c r="T757" s="581"/>
      <c r="U757" s="581"/>
    </row>
    <row r="758" spans="1:21" ht="19.5" x14ac:dyDescent="0.3">
      <c r="A758" s="406"/>
      <c r="B758" s="407" t="s">
        <v>284</v>
      </c>
      <c r="C758" s="406"/>
      <c r="D758" s="408"/>
      <c r="E758" s="408"/>
      <c r="F758" s="408"/>
      <c r="G758" s="409"/>
      <c r="H758" s="448" t="s">
        <v>35</v>
      </c>
      <c r="I758" s="700">
        <f t="shared" ref="I758:J758" ca="1" si="451">I772</f>
        <v>55</v>
      </c>
      <c r="J758" s="700">
        <f t="shared" si="451"/>
        <v>0</v>
      </c>
      <c r="K758" s="701">
        <f t="shared" ref="K758:K759" ca="1" si="452">IF(I758&gt;0,J758*100/I758,0)</f>
        <v>0</v>
      </c>
      <c r="L758" s="690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50"/>
      <c r="B759" s="406"/>
      <c r="C759" s="406"/>
      <c r="D759" s="408"/>
      <c r="E759" s="408"/>
      <c r="F759" s="408"/>
      <c r="G759" s="409"/>
      <c r="H759" s="448" t="s">
        <v>46</v>
      </c>
      <c r="I759" s="700">
        <f t="shared" ref="I759:J759" ca="1" si="453">I774</f>
        <v>110</v>
      </c>
      <c r="J759" s="700">
        <f t="shared" si="453"/>
        <v>0</v>
      </c>
      <c r="K759" s="701">
        <f t="shared" ca="1" si="452"/>
        <v>0</v>
      </c>
      <c r="L759" s="690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6"/>
      <c r="B760" s="156"/>
      <c r="C760" s="178" t="s">
        <v>18</v>
      </c>
      <c r="D760" s="830" t="s">
        <v>19</v>
      </c>
      <c r="E760" s="812"/>
      <c r="F760" s="812"/>
      <c r="G760" s="813"/>
      <c r="H760" s="227" t="s">
        <v>14</v>
      </c>
      <c r="I760" s="41"/>
      <c r="J760" s="41"/>
      <c r="K760" s="42"/>
      <c r="L760" s="514">
        <f t="shared" ref="L760:N760" si="454">L761+L762</f>
        <v>0</v>
      </c>
      <c r="M760" s="515">
        <f t="shared" si="454"/>
        <v>0</v>
      </c>
      <c r="N760" s="515">
        <f t="shared" si="454"/>
        <v>0</v>
      </c>
      <c r="O760" s="515">
        <f t="shared" ref="O760:O768" si="455">IF(L760&gt;0,N760*100/L760,0)</f>
        <v>0</v>
      </c>
      <c r="P760" s="515">
        <f t="shared" ref="P760:P768" si="456">IF(M760&gt;0,N760*100/M760,0)</f>
        <v>0</v>
      </c>
      <c r="Q760" s="515">
        <f t="shared" ref="Q760:S760" ca="1" si="457">Q761+Q762</f>
        <v>400950</v>
      </c>
      <c r="R760" s="515">
        <f t="shared" ca="1" si="457"/>
        <v>400950</v>
      </c>
      <c r="S760" s="515">
        <f t="shared" ca="1" si="457"/>
        <v>13000</v>
      </c>
      <c r="T760" s="515">
        <f t="shared" ref="T760:T768" ca="1" si="458">IF(Q760&gt;0,S760*100/Q760,0)</f>
        <v>3.2422995385958351</v>
      </c>
      <c r="U760" s="515">
        <f t="shared" ref="U760:U768" ca="1" si="459">IF(R760&gt;0,S760*100/R760,0)</f>
        <v>3.2422995385958351</v>
      </c>
    </row>
    <row r="761" spans="1:21" ht="18.75" hidden="1" x14ac:dyDescent="0.25">
      <c r="A761" s="126"/>
      <c r="B761" s="156"/>
      <c r="C761" s="156"/>
      <c r="D761" s="167"/>
      <c r="E761" s="154" t="s">
        <v>158</v>
      </c>
      <c r="F761" s="187"/>
      <c r="G761" s="39"/>
      <c r="H761" s="157" t="s">
        <v>14</v>
      </c>
      <c r="I761" s="41"/>
      <c r="J761" s="41"/>
      <c r="K761" s="42"/>
      <c r="L761" s="483">
        <f t="shared" ref="L761:N762" si="460">L764+L767</f>
        <v>0</v>
      </c>
      <c r="M761" s="80">
        <f t="shared" si="460"/>
        <v>0</v>
      </c>
      <c r="N761" s="80">
        <f t="shared" si="460"/>
        <v>0</v>
      </c>
      <c r="O761" s="80">
        <f t="shared" si="455"/>
        <v>0</v>
      </c>
      <c r="P761" s="80">
        <f t="shared" si="456"/>
        <v>0</v>
      </c>
      <c r="Q761" s="80">
        <f t="shared" ref="Q761:S762" si="461">Q764+Q767</f>
        <v>0</v>
      </c>
      <c r="R761" s="80">
        <f t="shared" si="461"/>
        <v>0</v>
      </c>
      <c r="S761" s="80">
        <f t="shared" si="461"/>
        <v>0</v>
      </c>
      <c r="T761" s="80">
        <f t="shared" si="458"/>
        <v>0</v>
      </c>
      <c r="U761" s="80">
        <f t="shared" si="459"/>
        <v>0</v>
      </c>
    </row>
    <row r="762" spans="1:21" ht="18.75" hidden="1" x14ac:dyDescent="0.25">
      <c r="A762" s="126"/>
      <c r="B762" s="156"/>
      <c r="C762" s="175"/>
      <c r="D762" s="167"/>
      <c r="E762" s="254" t="s">
        <v>159</v>
      </c>
      <c r="F762" s="187"/>
      <c r="G762" s="39"/>
      <c r="H762" s="132" t="s">
        <v>14</v>
      </c>
      <c r="I762" s="41"/>
      <c r="J762" s="41"/>
      <c r="K762" s="42"/>
      <c r="L762" s="481">
        <f t="shared" si="460"/>
        <v>0</v>
      </c>
      <c r="M762" s="230">
        <f t="shared" si="460"/>
        <v>0</v>
      </c>
      <c r="N762" s="230">
        <f t="shared" si="460"/>
        <v>0</v>
      </c>
      <c r="O762" s="230">
        <f t="shared" si="455"/>
        <v>0</v>
      </c>
      <c r="P762" s="230">
        <f t="shared" si="456"/>
        <v>0</v>
      </c>
      <c r="Q762" s="230">
        <f t="shared" ca="1" si="461"/>
        <v>400950</v>
      </c>
      <c r="R762" s="230">
        <f t="shared" ca="1" si="461"/>
        <v>400950</v>
      </c>
      <c r="S762" s="230">
        <f t="shared" ca="1" si="461"/>
        <v>13000</v>
      </c>
      <c r="T762" s="230">
        <f t="shared" ca="1" si="458"/>
        <v>3.2422995385958351</v>
      </c>
      <c r="U762" s="230">
        <f t="shared" ca="1" si="459"/>
        <v>3.2422995385958351</v>
      </c>
    </row>
    <row r="763" spans="1:21" ht="18.75" x14ac:dyDescent="0.25">
      <c r="A763" s="126"/>
      <c r="B763" s="156"/>
      <c r="C763" s="175"/>
      <c r="D763" s="38" t="s">
        <v>22</v>
      </c>
      <c r="E763" s="187"/>
      <c r="F763" s="187"/>
      <c r="G763" s="39"/>
      <c r="H763" s="132" t="s">
        <v>14</v>
      </c>
      <c r="I763" s="133"/>
      <c r="J763" s="133"/>
      <c r="K763" s="134"/>
      <c r="L763" s="481">
        <f t="shared" ref="L763:N763" si="462">L764+L765</f>
        <v>0</v>
      </c>
      <c r="M763" s="230">
        <f t="shared" si="462"/>
        <v>0</v>
      </c>
      <c r="N763" s="230">
        <f t="shared" si="462"/>
        <v>0</v>
      </c>
      <c r="O763" s="230">
        <f t="shared" si="455"/>
        <v>0</v>
      </c>
      <c r="P763" s="230">
        <f t="shared" si="456"/>
        <v>0</v>
      </c>
      <c r="Q763" s="230">
        <f t="shared" ref="Q763:S763" ca="1" si="463">Q764+Q765</f>
        <v>400950</v>
      </c>
      <c r="R763" s="230">
        <f t="shared" ca="1" si="463"/>
        <v>400950</v>
      </c>
      <c r="S763" s="230">
        <f t="shared" ca="1" si="463"/>
        <v>13000</v>
      </c>
      <c r="T763" s="230">
        <f t="shared" ca="1" si="458"/>
        <v>3.2422995385958351</v>
      </c>
      <c r="U763" s="230">
        <f t="shared" ca="1" si="459"/>
        <v>3.2422995385958351</v>
      </c>
    </row>
    <row r="764" spans="1:21" ht="18.75" hidden="1" x14ac:dyDescent="0.25">
      <c r="A764" s="126"/>
      <c r="B764" s="156"/>
      <c r="C764" s="175"/>
      <c r="D764" s="167"/>
      <c r="E764" s="154" t="s">
        <v>158</v>
      </c>
      <c r="F764" s="187"/>
      <c r="G764" s="39"/>
      <c r="H764" s="157" t="s">
        <v>14</v>
      </c>
      <c r="I764" s="41"/>
      <c r="J764" s="41"/>
      <c r="K764" s="42"/>
      <c r="L764" s="483">
        <v>0</v>
      </c>
      <c r="M764" s="80">
        <v>0</v>
      </c>
      <c r="N764" s="80">
        <v>0</v>
      </c>
      <c r="O764" s="80">
        <f t="shared" si="455"/>
        <v>0</v>
      </c>
      <c r="P764" s="80">
        <f t="shared" si="456"/>
        <v>0</v>
      </c>
      <c r="Q764" s="80">
        <v>0</v>
      </c>
      <c r="R764" s="80">
        <v>0</v>
      </c>
      <c r="S764" s="80">
        <v>0</v>
      </c>
      <c r="T764" s="80">
        <f t="shared" si="458"/>
        <v>0</v>
      </c>
      <c r="U764" s="80">
        <f t="shared" si="459"/>
        <v>0</v>
      </c>
    </row>
    <row r="765" spans="1:21" ht="18.75" hidden="1" x14ac:dyDescent="0.25">
      <c r="A765" s="126"/>
      <c r="B765" s="156"/>
      <c r="C765" s="175"/>
      <c r="D765" s="167"/>
      <c r="E765" s="254" t="s">
        <v>159</v>
      </c>
      <c r="F765" s="187"/>
      <c r="G765" s="39"/>
      <c r="H765" s="132" t="s">
        <v>14</v>
      </c>
      <c r="I765" s="41"/>
      <c r="J765" s="41"/>
      <c r="K765" s="42"/>
      <c r="L765" s="481">
        <v>0</v>
      </c>
      <c r="M765" s="230">
        <v>0</v>
      </c>
      <c r="N765" s="230">
        <v>0</v>
      </c>
      <c r="O765" s="230">
        <f t="shared" si="455"/>
        <v>0</v>
      </c>
      <c r="P765" s="230">
        <f t="shared" si="456"/>
        <v>0</v>
      </c>
      <c r="Q765" s="230">
        <f ca="1">IFERROR(__xludf.DUMMYFUNCTION("IMPORTRANGE(""https://docs.google.com/spreadsheets/d/1ItG2mGa2ceCfYo0BwxsXqNm01IGEUdYcSSLTEv9YCik/edit?usp=sharing"",""เบิกจ่ายกองทุน!U21"")"),400950)</f>
        <v>400950</v>
      </c>
      <c r="R765" s="230">
        <f ca="1">IFERROR(__xludf.DUMMYFUNCTION("IMPORTRANGE(""https://docs.google.com/spreadsheets/d/1ItG2mGa2ceCfYo0BwxsXqNm01IGEUdYcSSLTEv9YCik/edit?usp=sharing"",""เบิกจ่ายกองทุน!V21"")"),400950)</f>
        <v>400950</v>
      </c>
      <c r="S765" s="230">
        <f ca="1">IFERROR(__xludf.DUMMYFUNCTION("IMPORTRANGE(""https://docs.google.com/spreadsheets/d/1ItG2mGa2ceCfYo0BwxsXqNm01IGEUdYcSSLTEv9YCik/edit?usp=sharing"",""เบิกจ่ายกองทุน!W21"")"),13000)</f>
        <v>13000</v>
      </c>
      <c r="T765" s="230">
        <f t="shared" ca="1" si="458"/>
        <v>3.2422995385958351</v>
      </c>
      <c r="U765" s="230">
        <f t="shared" ca="1" si="459"/>
        <v>3.2422995385958351</v>
      </c>
    </row>
    <row r="766" spans="1:21" ht="18.75" x14ac:dyDescent="0.25">
      <c r="A766" s="126"/>
      <c r="B766" s="156"/>
      <c r="C766" s="156"/>
      <c r="D766" s="38" t="s">
        <v>23</v>
      </c>
      <c r="E766" s="156"/>
      <c r="F766" s="187"/>
      <c r="G766" s="39"/>
      <c r="H766" s="135" t="s">
        <v>14</v>
      </c>
      <c r="I766" s="133"/>
      <c r="J766" s="133"/>
      <c r="K766" s="134"/>
      <c r="L766" s="481">
        <f t="shared" ref="L766:N766" si="464">L767+L768</f>
        <v>0</v>
      </c>
      <c r="M766" s="230">
        <f t="shared" si="464"/>
        <v>0</v>
      </c>
      <c r="N766" s="230">
        <f t="shared" si="464"/>
        <v>0</v>
      </c>
      <c r="O766" s="230">
        <f t="shared" si="455"/>
        <v>0</v>
      </c>
      <c r="P766" s="230">
        <f t="shared" si="456"/>
        <v>0</v>
      </c>
      <c r="Q766" s="230">
        <f t="shared" ref="Q766:S766" si="465">Q767+Q768</f>
        <v>0</v>
      </c>
      <c r="R766" s="230">
        <f t="shared" si="465"/>
        <v>0</v>
      </c>
      <c r="S766" s="230">
        <f t="shared" si="465"/>
        <v>0</v>
      </c>
      <c r="T766" s="230">
        <f t="shared" si="458"/>
        <v>0</v>
      </c>
      <c r="U766" s="230">
        <f t="shared" si="459"/>
        <v>0</v>
      </c>
    </row>
    <row r="767" spans="1:21" ht="18.75" hidden="1" x14ac:dyDescent="0.25">
      <c r="A767" s="126"/>
      <c r="B767" s="156"/>
      <c r="C767" s="156"/>
      <c r="D767" s="156"/>
      <c r="E767" s="442" t="s">
        <v>20</v>
      </c>
      <c r="F767" s="187"/>
      <c r="G767" s="39"/>
      <c r="H767" s="157" t="s">
        <v>14</v>
      </c>
      <c r="I767" s="133"/>
      <c r="J767" s="133"/>
      <c r="K767" s="134"/>
      <c r="L767" s="483">
        <v>0</v>
      </c>
      <c r="M767" s="80">
        <v>0</v>
      </c>
      <c r="N767" s="80">
        <v>0</v>
      </c>
      <c r="O767" s="80">
        <f t="shared" si="455"/>
        <v>0</v>
      </c>
      <c r="P767" s="80">
        <f t="shared" si="456"/>
        <v>0</v>
      </c>
      <c r="Q767" s="80">
        <v>0</v>
      </c>
      <c r="R767" s="80">
        <v>0</v>
      </c>
      <c r="S767" s="80">
        <v>0</v>
      </c>
      <c r="T767" s="80">
        <f t="shared" si="458"/>
        <v>0</v>
      </c>
      <c r="U767" s="80">
        <f t="shared" si="459"/>
        <v>0</v>
      </c>
    </row>
    <row r="768" spans="1:21" ht="18.75" hidden="1" x14ac:dyDescent="0.25">
      <c r="A768" s="126"/>
      <c r="B768" s="156"/>
      <c r="C768" s="156"/>
      <c r="D768" s="156"/>
      <c r="E768" s="426" t="s">
        <v>21</v>
      </c>
      <c r="F768" s="187"/>
      <c r="G768" s="39"/>
      <c r="H768" s="135" t="s">
        <v>14</v>
      </c>
      <c r="I768" s="133"/>
      <c r="J768" s="133"/>
      <c r="K768" s="134"/>
      <c r="L768" s="481">
        <v>0</v>
      </c>
      <c r="M768" s="230">
        <v>0</v>
      </c>
      <c r="N768" s="230">
        <v>0</v>
      </c>
      <c r="O768" s="230">
        <f t="shared" si="455"/>
        <v>0</v>
      </c>
      <c r="P768" s="230">
        <f t="shared" si="456"/>
        <v>0</v>
      </c>
      <c r="Q768" s="230">
        <v>0</v>
      </c>
      <c r="R768" s="230">
        <v>0</v>
      </c>
      <c r="S768" s="230">
        <v>0</v>
      </c>
      <c r="T768" s="230">
        <f t="shared" si="458"/>
        <v>0</v>
      </c>
      <c r="U768" s="230">
        <f t="shared" si="459"/>
        <v>0</v>
      </c>
    </row>
    <row r="769" spans="1:21" ht="19.5" x14ac:dyDescent="0.3">
      <c r="A769" s="136"/>
      <c r="B769" s="137"/>
      <c r="C769" s="452" t="s">
        <v>18</v>
      </c>
      <c r="D769" s="694" t="s">
        <v>38</v>
      </c>
      <c r="E769" s="209"/>
      <c r="F769" s="139"/>
      <c r="G769" s="140"/>
      <c r="H769" s="179"/>
      <c r="I769" s="41"/>
      <c r="J769" s="41"/>
      <c r="K769" s="42"/>
      <c r="L769" s="484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1:21" ht="18.75" hidden="1" x14ac:dyDescent="0.25">
      <c r="A770" s="136"/>
      <c r="B770" s="137"/>
      <c r="C770" s="137"/>
      <c r="D770" s="389" t="s">
        <v>285</v>
      </c>
      <c r="E770" s="137"/>
      <c r="F770" s="167"/>
      <c r="G770" s="141"/>
      <c r="H770" s="387" t="s">
        <v>35</v>
      </c>
      <c r="I770" s="444">
        <f ca="1">IFERROR(__xludf.DUMMYFUNCTION("IMPORTRANGE(""https://docs.google.com/spreadsheets/d/1eHaY18a8A9IcSdp1K8H6x8fbOy06t2VsZHhMHf-1x7Y/edit?usp=sharing"",""แผน!FI21"")"),0)</f>
        <v>0</v>
      </c>
      <c r="J770" s="444">
        <v>0</v>
      </c>
      <c r="K770" s="80">
        <f ca="1">IF(I770&gt;0,J770*100/I770,0)</f>
        <v>0</v>
      </c>
      <c r="L770" s="484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1:21" ht="18.75" hidden="1" x14ac:dyDescent="0.25">
      <c r="A771" s="136"/>
      <c r="B771" s="137"/>
      <c r="C771" s="137"/>
      <c r="D771" s="389" t="s">
        <v>286</v>
      </c>
      <c r="E771" s="137"/>
      <c r="F771" s="167"/>
      <c r="G771" s="141"/>
      <c r="H771" s="179"/>
      <c r="I771" s="41"/>
      <c r="J771" s="41"/>
      <c r="K771" s="42"/>
      <c r="L771" s="484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1:21" ht="18.75" x14ac:dyDescent="0.25">
      <c r="A772" s="136"/>
      <c r="B772" s="137"/>
      <c r="C772" s="137"/>
      <c r="D772" s="422" t="s">
        <v>287</v>
      </c>
      <c r="E772" s="137"/>
      <c r="F772" s="167"/>
      <c r="G772" s="141"/>
      <c r="H772" s="135" t="s">
        <v>35</v>
      </c>
      <c r="I772" s="189">
        <f ca="1">IFERROR(__xludf.DUMMYFUNCTION("IMPORTRANGE(""https://docs.google.com/spreadsheets/d/1eHaY18a8A9IcSdp1K8H6x8fbOy06t2VsZHhMHf-1x7Y/edit?usp=sharing"",""แผน!FQ21"")"),55)</f>
        <v>55</v>
      </c>
      <c r="J772" s="520">
        <v>0</v>
      </c>
      <c r="K772" s="230">
        <f ca="1">IF(I772&gt;0,J772*100/I772,0)</f>
        <v>0</v>
      </c>
      <c r="L772" s="484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1:21" ht="18.75" x14ac:dyDescent="0.25">
      <c r="A773" s="136"/>
      <c r="B773" s="137"/>
      <c r="C773" s="137"/>
      <c r="D773" s="422" t="s">
        <v>288</v>
      </c>
      <c r="E773" s="137"/>
      <c r="F773" s="167"/>
      <c r="G773" s="141"/>
      <c r="H773" s="179"/>
      <c r="I773" s="41"/>
      <c r="J773" s="41"/>
      <c r="K773" s="42"/>
      <c r="L773" s="484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1:21" ht="18.75" x14ac:dyDescent="0.25">
      <c r="A774" s="136"/>
      <c r="B774" s="137"/>
      <c r="C774" s="137"/>
      <c r="D774" s="422" t="s">
        <v>289</v>
      </c>
      <c r="E774" s="137"/>
      <c r="F774" s="167"/>
      <c r="G774" s="141"/>
      <c r="H774" s="135" t="s">
        <v>46</v>
      </c>
      <c r="I774" s="189">
        <f ca="1">IFERROR(__xludf.DUMMYFUNCTION("IMPORTRANGE(""https://docs.google.com/spreadsheets/d/1eHaY18a8A9IcSdp1K8H6x8fbOy06t2VsZHhMHf-1x7Y/edit?usp=sharing"",""แผน!FR21"")"),110)</f>
        <v>110</v>
      </c>
      <c r="J774" s="520">
        <v>0</v>
      </c>
      <c r="K774" s="230">
        <f ca="1">IF(I774&gt;0,J774*100/I774,0)</f>
        <v>0</v>
      </c>
      <c r="L774" s="484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1:21" ht="18.75" x14ac:dyDescent="0.25">
      <c r="A775" s="136"/>
      <c r="B775" s="137"/>
      <c r="C775" s="137"/>
      <c r="D775" s="422" t="s">
        <v>50</v>
      </c>
      <c r="E775" s="167"/>
      <c r="F775" s="187"/>
      <c r="G775" s="39"/>
      <c r="H775" s="135" t="s">
        <v>46</v>
      </c>
      <c r="I775" s="189">
        <f ca="1">IFERROR(__xludf.DUMMYFUNCTION("IMPORTRANGE(""https://docs.google.com/spreadsheets/d/1eHaY18a8A9IcSdp1K8H6x8fbOy06t2VsZHhMHf-1x7Y/edit?usp=sharing"",""แผน!FS21"")"),110)</f>
        <v>110</v>
      </c>
      <c r="J775" s="520">
        <v>0</v>
      </c>
      <c r="K775" s="42"/>
      <c r="L775" s="484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1:21" ht="18.75" x14ac:dyDescent="0.25">
      <c r="A776" s="257"/>
      <c r="B776" s="258"/>
      <c r="C776" s="258"/>
      <c r="D776" s="258"/>
      <c r="E776" s="260"/>
      <c r="F776" s="260"/>
      <c r="G776" s="49"/>
      <c r="H776" s="192" t="s">
        <v>35</v>
      </c>
      <c r="I776" s="194">
        <f ca="1">IFERROR(__xludf.DUMMYFUNCTION("IMPORTRANGE(""https://docs.google.com/spreadsheets/d/1eHaY18a8A9IcSdp1K8H6x8fbOy06t2VsZHhMHf-1x7Y/edit?usp=sharing"",""แผน!FT21"")"),55)</f>
        <v>55</v>
      </c>
      <c r="J776" s="666">
        <v>0</v>
      </c>
      <c r="K776" s="7"/>
      <c r="L776" s="485"/>
      <c r="M776" s="7"/>
      <c r="N776" s="7"/>
      <c r="O776" s="7"/>
      <c r="P776" s="7"/>
      <c r="Q776" s="7"/>
      <c r="R776" s="7"/>
      <c r="S776" s="7"/>
      <c r="T776" s="7"/>
      <c r="U776" s="7"/>
    </row>
    <row r="777" spans="1:21" ht="19.5" x14ac:dyDescent="0.3">
      <c r="A777" s="710" t="s">
        <v>290</v>
      </c>
      <c r="B777" s="455"/>
      <c r="C777" s="455"/>
      <c r="D777" s="454"/>
      <c r="E777" s="455"/>
      <c r="F777" s="455"/>
      <c r="G777" s="456"/>
      <c r="H777" s="711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458"/>
      <c r="J777" s="459"/>
      <c r="K777" s="460"/>
      <c r="L777" s="460"/>
      <c r="M777" s="460"/>
      <c r="N777" s="460"/>
      <c r="O777" s="460"/>
      <c r="P777" s="460"/>
      <c r="Q777" s="460"/>
      <c r="R777" s="460"/>
      <c r="S777" s="460"/>
      <c r="T777" s="460"/>
      <c r="U777" s="460"/>
    </row>
    <row r="778" spans="1:21" ht="18.75" x14ac:dyDescent="0.25">
      <c r="A778" s="36"/>
      <c r="B778" s="254" t="s">
        <v>291</v>
      </c>
      <c r="C778" s="187"/>
      <c r="D778" s="156"/>
      <c r="E778" s="187"/>
      <c r="F778" s="187"/>
      <c r="G778" s="39"/>
      <c r="H778" s="40" t="s">
        <v>14</v>
      </c>
      <c r="I778" s="189">
        <f ca="1">IFERROR(__xludf.DUMMYFUNCTION("IMPORTRANGE(""https://docs.google.com/spreadsheets/d/10OvvATaaLtwErnr3qtWFcTmtbfpFEt5Bsqel9sXx0uE/edit?usp=sharing"",""งานกองทุน!D21"")"),2630000)</f>
        <v>2630000</v>
      </c>
      <c r="J778" s="189">
        <f ca="1">IFERROR(__xludf.DUMMYFUNCTION("IMPORTRANGE(""https://docs.google.com/spreadsheets/d/10OvvATaaLtwErnr3qtWFcTmtbfpFEt5Bsqel9sXx0uE/edit?usp=sharing"",""งานกองทุน!F21"")"),930550)</f>
        <v>930550</v>
      </c>
      <c r="K778" s="230">
        <f t="shared" ref="K778:K785" ca="1" si="466">IF(I778&gt;0,J778*100/I778,0)</f>
        <v>35.382129277566541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1:21" ht="18.75" x14ac:dyDescent="0.25">
      <c r="A779" s="36"/>
      <c r="B779" s="187"/>
      <c r="C779" s="187"/>
      <c r="D779" s="156"/>
      <c r="E779" s="187"/>
      <c r="F779" s="187"/>
      <c r="G779" s="39"/>
      <c r="H779" s="40" t="s">
        <v>35</v>
      </c>
      <c r="I779" s="189">
        <f ca="1">IFERROR(__xludf.DUMMYFUNCTION("IMPORTRANGE(""https://docs.google.com/spreadsheets/d/10OvvATaaLtwErnr3qtWFcTmtbfpFEt5Bsqel9sXx0uE/edit?usp=sharing"",""งานกองทุน!C21"")"),102)</f>
        <v>102</v>
      </c>
      <c r="J779" s="189">
        <f ca="1">IFERROR(__xludf.DUMMYFUNCTION("IMPORTRANGE(""https://docs.google.com/spreadsheets/d/10OvvATaaLtwErnr3qtWFcTmtbfpFEt5Bsqel9sXx0uE/edit?usp=sharing"",""งานกองทุน!E21"")"),42)</f>
        <v>42</v>
      </c>
      <c r="K779" s="230">
        <f t="shared" ca="1" si="466"/>
        <v>41.176470588235297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1:21" ht="18.75" x14ac:dyDescent="0.25">
      <c r="A780" s="36"/>
      <c r="B780" s="254" t="s">
        <v>292</v>
      </c>
      <c r="C780" s="187"/>
      <c r="D780" s="156"/>
      <c r="E780" s="187"/>
      <c r="F780" s="187"/>
      <c r="G780" s="39"/>
      <c r="H780" s="40" t="s">
        <v>14</v>
      </c>
      <c r="I780" s="189">
        <f ca="1">IFERROR(__xludf.DUMMYFUNCTION("IMPORTRANGE(""https://docs.google.com/spreadsheets/d/10OvvATaaLtwErnr3qtWFcTmtbfpFEt5Bsqel9sXx0uE/edit?usp=sharing"",""งานกองทุน!I21"")"),327133.2)</f>
        <v>327133.2</v>
      </c>
      <c r="J780" s="189">
        <f ca="1">IFERROR(__xludf.DUMMYFUNCTION("IMPORTRANGE(""https://docs.google.com/spreadsheets/d/10OvvATaaLtwErnr3qtWFcTmtbfpFEt5Bsqel9sXx0uE/edit?usp=sharing"",""งานกองทุน!K21"")"),221283.86)</f>
        <v>221283.86</v>
      </c>
      <c r="K780" s="230">
        <f t="shared" ca="1" si="466"/>
        <v>67.643351393255102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1:21" ht="18.75" x14ac:dyDescent="0.25">
      <c r="A781" s="36"/>
      <c r="B781" s="187"/>
      <c r="C781" s="187"/>
      <c r="D781" s="156"/>
      <c r="E781" s="187"/>
      <c r="F781" s="187"/>
      <c r="G781" s="39"/>
      <c r="H781" s="40" t="s">
        <v>35</v>
      </c>
      <c r="I781" s="189">
        <f ca="1">IFERROR(__xludf.DUMMYFUNCTION("IMPORTRANGE(""https://docs.google.com/spreadsheets/d/10OvvATaaLtwErnr3qtWFcTmtbfpFEt5Bsqel9sXx0uE/edit?usp=sharing"",""งานกองทุน!H21"")"),17)</f>
        <v>17</v>
      </c>
      <c r="J781" s="189">
        <f ca="1">IFERROR(__xludf.DUMMYFUNCTION("IMPORTRANGE(""https://docs.google.com/spreadsheets/d/10OvvATaaLtwErnr3qtWFcTmtbfpFEt5Bsqel9sXx0uE/edit?usp=sharing"",""งานกองทุน!J21"")"),15)</f>
        <v>15</v>
      </c>
      <c r="K781" s="230">
        <f t="shared" ca="1" si="466"/>
        <v>88.235294117647058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1:21" ht="18.75" x14ac:dyDescent="0.25">
      <c r="A782" s="36"/>
      <c r="B782" s="254" t="s">
        <v>293</v>
      </c>
      <c r="C782" s="187"/>
      <c r="D782" s="156"/>
      <c r="E782" s="187"/>
      <c r="F782" s="187"/>
      <c r="G782" s="39"/>
      <c r="H782" s="40" t="s">
        <v>14</v>
      </c>
      <c r="I782" s="189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89">
        <f ca="1">IFERROR(__xludf.DUMMYFUNCTION("IMPORTRANGE(""https://docs.google.com/spreadsheets/d/10OvvATaaLtwErnr3qtWFcTmtbfpFEt5Bsqel9sXx0uE/edit?usp=sharing"",""งานกองทุน!P21"")"),1520758.36)</f>
        <v>1520758.36</v>
      </c>
      <c r="K782" s="230">
        <f t="shared" ca="1" si="466"/>
        <v>39.080601919012885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1:21" ht="18.75" x14ac:dyDescent="0.25">
      <c r="A783" s="36"/>
      <c r="B783" s="187"/>
      <c r="C783" s="187"/>
      <c r="D783" s="156"/>
      <c r="E783" s="187"/>
      <c r="F783" s="187"/>
      <c r="G783" s="39"/>
      <c r="H783" s="40" t="s">
        <v>35</v>
      </c>
      <c r="I783" s="189">
        <f ca="1">IFERROR(__xludf.DUMMYFUNCTION("IMPORTRANGE(""https://docs.google.com/spreadsheets/d/10OvvATaaLtwErnr3qtWFcTmtbfpFEt5Bsqel9sXx0uE/edit?usp=sharing"",""งานกองทุน!M21"")"),412)</f>
        <v>412</v>
      </c>
      <c r="J783" s="189">
        <f ca="1">IFERROR(__xludf.DUMMYFUNCTION("IMPORTRANGE(""https://docs.google.com/spreadsheets/d/10OvvATaaLtwErnr3qtWFcTmtbfpFEt5Bsqel9sXx0uE/edit?usp=sharing"",""งานกองทุน!O21"")"),234)</f>
        <v>234</v>
      </c>
      <c r="K783" s="230">
        <f t="shared" ca="1" si="466"/>
        <v>56.796116504854368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1:21" ht="18.75" x14ac:dyDescent="0.25">
      <c r="A784" s="36"/>
      <c r="B784" s="254" t="s">
        <v>294</v>
      </c>
      <c r="C784" s="187"/>
      <c r="D784" s="156"/>
      <c r="E784" s="187"/>
      <c r="F784" s="187"/>
      <c r="G784" s="39"/>
      <c r="H784" s="40" t="s">
        <v>14</v>
      </c>
      <c r="I784" s="189">
        <f ca="1">IFERROR(__xludf.DUMMYFUNCTION("IMPORTRANGE(""https://docs.google.com/spreadsheets/d/10OvvATaaLtwErnr3qtWFcTmtbfpFEt5Bsqel9sXx0uE/edit?usp=sharing"",""งานกองทุน!S21"")"),3220000)</f>
        <v>3220000</v>
      </c>
      <c r="J784" s="189">
        <f ca="1">IFERROR(__xludf.DUMMYFUNCTION("IMPORTRANGE(""https://docs.google.com/spreadsheets/d/10OvvATaaLtwErnr3qtWFcTmtbfpFEt5Bsqel9sXx0uE/edit?usp=sharing"",""งานกองทุน!U21"")"),1090000)</f>
        <v>1090000</v>
      </c>
      <c r="K784" s="230">
        <f t="shared" ca="1" si="466"/>
        <v>33.850931677018636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1:21" ht="18.75" x14ac:dyDescent="0.25">
      <c r="A785" s="47"/>
      <c r="B785" s="5"/>
      <c r="C785" s="5"/>
      <c r="D785" s="6"/>
      <c r="E785" s="5"/>
      <c r="F785" s="5"/>
      <c r="G785" s="49"/>
      <c r="H785" s="50" t="s">
        <v>35</v>
      </c>
      <c r="I785" s="194">
        <f ca="1">IFERROR(__xludf.DUMMYFUNCTION("IMPORTRANGE(""https://docs.google.com/spreadsheets/d/10OvvATaaLtwErnr3qtWFcTmtbfpFEt5Bsqel9sXx0uE/edit?usp=sharing"",""งานกองทุน!R21"")"),115)</f>
        <v>115</v>
      </c>
      <c r="J785" s="194">
        <f ca="1">IFERROR(__xludf.DUMMYFUNCTION("IMPORTRANGE(""https://docs.google.com/spreadsheets/d/10OvvATaaLtwErnr3qtWFcTmtbfpFEt5Bsqel9sXx0uE/edit?usp=sharing"",""งานกองทุน!T21"")"),40)</f>
        <v>40</v>
      </c>
      <c r="K785" s="461">
        <f t="shared" ca="1" si="466"/>
        <v>34.782608695652172</v>
      </c>
      <c r="L785" s="7"/>
      <c r="M785" s="7"/>
      <c r="N785" s="7"/>
      <c r="O785" s="7"/>
      <c r="P785" s="7"/>
      <c r="Q785" s="7"/>
      <c r="R785" s="7"/>
      <c r="S785" s="7"/>
      <c r="T785" s="7"/>
      <c r="U785" s="7"/>
    </row>
    <row r="786" spans="1:21" ht="12.75" x14ac:dyDescent="0.2">
      <c r="A786" s="163"/>
      <c r="B786" s="163"/>
      <c r="C786" s="163"/>
      <c r="D786" s="163"/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</row>
    <row r="787" spans="1:21" ht="16.5" x14ac:dyDescent="0.25">
      <c r="A787" s="712" t="s">
        <v>295</v>
      </c>
      <c r="B787" s="163"/>
      <c r="C787" s="163"/>
      <c r="D787" s="163"/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</row>
    <row r="788" spans="1:21" ht="16.5" x14ac:dyDescent="0.25">
      <c r="A788" s="71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163"/>
      <c r="C788" s="163"/>
      <c r="D788" s="163"/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</row>
  </sheetData>
  <mergeCells count="26"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  <mergeCell ref="A57:G57"/>
    <mergeCell ref="B58:G58"/>
    <mergeCell ref="A4:H4"/>
    <mergeCell ref="L5:P5"/>
    <mergeCell ref="Q5:U5"/>
    <mergeCell ref="A6:G7"/>
    <mergeCell ref="I6:K6"/>
    <mergeCell ref="L6:M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2024-03-06T08:21:59Z</cp:lastPrinted>
  <dcterms:modified xsi:type="dcterms:W3CDTF">2024-03-08T02:01:56Z</dcterms:modified>
</cp:coreProperties>
</file>